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6A05E235-4C5C-4EE3-BB9B-B40AB064C88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IGOO" sheetId="1" r:id="rId1"/>
  </sheets>
  <definedNames>
    <definedName name="_xlnm.Extract" localSheetId="0">#REF!</definedName>
    <definedName name="_xlnm.Extract">#REF!</definedName>
    <definedName name="_xlnm.Print_Area" localSheetId="0">PIGOO!$A$2:$Q$155</definedName>
    <definedName name="_xlnm.Print_Titles" localSheetId="0">PIGOO!$2:$11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1" i="1" l="1"/>
  <c r="M100" i="1"/>
  <c r="M99" i="1"/>
  <c r="N97" i="1"/>
  <c r="M51" i="1"/>
  <c r="M50" i="1"/>
  <c r="M48" i="1"/>
  <c r="M47" i="1"/>
  <c r="M40" i="1"/>
  <c r="M25" i="1"/>
  <c r="M22" i="1" s="1"/>
  <c r="L58" i="1" l="1"/>
  <c r="M58" i="1" s="1"/>
  <c r="L101" i="1" l="1"/>
  <c r="L100" i="1"/>
  <c r="L99" i="1"/>
  <c r="L51" i="1"/>
  <c r="L50" i="1"/>
  <c r="L48" i="1"/>
  <c r="L47" i="1"/>
  <c r="L40" i="1"/>
  <c r="L31" i="1"/>
  <c r="L25" i="1"/>
  <c r="L22" i="1" s="1"/>
  <c r="L14" i="1"/>
  <c r="L21" i="1" l="1"/>
  <c r="K53" i="1"/>
  <c r="J53" i="1"/>
  <c r="K145" i="1"/>
  <c r="J145" i="1"/>
  <c r="K101" i="1" l="1"/>
  <c r="K100" i="1"/>
  <c r="J100" i="1"/>
  <c r="K99" i="1"/>
  <c r="K58" i="1"/>
  <c r="K51" i="1"/>
  <c r="K50" i="1"/>
  <c r="K48" i="1"/>
  <c r="K47" i="1"/>
  <c r="K40" i="1"/>
  <c r="J40" i="1"/>
  <c r="J130" i="1"/>
  <c r="I130" i="1"/>
  <c r="K46" i="1" l="1"/>
  <c r="J101" i="1"/>
  <c r="J99" i="1"/>
  <c r="J51" i="1"/>
  <c r="J50" i="1"/>
  <c r="J48" i="1"/>
  <c r="J47" i="1"/>
  <c r="K27" i="1"/>
  <c r="K25" i="1" s="1"/>
  <c r="K22" i="1" s="1"/>
  <c r="K21" i="1" s="1"/>
  <c r="J27" i="1"/>
  <c r="J25" i="1" s="1"/>
  <c r="J22" i="1" s="1"/>
  <c r="D27" i="1" l="1"/>
  <c r="I53" i="1" l="1"/>
  <c r="I27" i="1"/>
  <c r="I25" i="1" s="1"/>
  <c r="I22" i="1" s="1"/>
  <c r="I21" i="1" s="1"/>
  <c r="I101" i="1"/>
  <c r="I100" i="1"/>
  <c r="I99" i="1"/>
  <c r="I51" i="1"/>
  <c r="I50" i="1"/>
  <c r="I48" i="1"/>
  <c r="I47" i="1"/>
  <c r="H47" i="1"/>
  <c r="I14" i="1"/>
  <c r="I46" i="1" l="1"/>
  <c r="H101" i="1"/>
  <c r="H100" i="1"/>
  <c r="H99" i="1"/>
  <c r="H51" i="1"/>
  <c r="H50" i="1"/>
  <c r="H48" i="1"/>
  <c r="H27" i="1"/>
  <c r="H25" i="1" s="1"/>
  <c r="H22" i="1" s="1"/>
  <c r="H21" i="1" s="1"/>
  <c r="H46" i="1" l="1"/>
  <c r="G101" i="1"/>
  <c r="G100" i="1"/>
  <c r="G99" i="1"/>
  <c r="F51" i="1"/>
  <c r="G51" i="1"/>
  <c r="G50" i="1"/>
  <c r="G48" i="1"/>
  <c r="G47" i="1"/>
  <c r="G27" i="1"/>
  <c r="G25" i="1" s="1"/>
  <c r="G22" i="1" s="1"/>
  <c r="G21" i="1" s="1"/>
  <c r="G46" i="1" l="1"/>
  <c r="C101" i="1"/>
  <c r="C100" i="1"/>
  <c r="C99" i="1"/>
  <c r="D101" i="1"/>
  <c r="D100" i="1"/>
  <c r="D99" i="1"/>
  <c r="E99" i="1"/>
  <c r="E101" i="1"/>
  <c r="E100" i="1"/>
  <c r="B99" i="1"/>
  <c r="B101" i="1"/>
  <c r="B100" i="1"/>
  <c r="B27" i="1" l="1"/>
  <c r="B25" i="1" s="1"/>
  <c r="F25" i="1"/>
  <c r="F22" i="1" s="1"/>
  <c r="B131" i="1"/>
  <c r="C131" i="1"/>
  <c r="D131" i="1"/>
  <c r="E131" i="1"/>
  <c r="B22" i="1" l="1"/>
  <c r="E51" i="1"/>
  <c r="E50" i="1"/>
  <c r="E48" i="1"/>
  <c r="E47" i="1"/>
  <c r="D51" i="1"/>
  <c r="D50" i="1"/>
  <c r="C50" i="1"/>
  <c r="D48" i="1"/>
  <c r="D47" i="1"/>
  <c r="C51" i="1"/>
  <c r="C48" i="1"/>
  <c r="C47" i="1"/>
  <c r="E27" i="1"/>
  <c r="C27" i="1"/>
  <c r="C25" i="1" l="1"/>
  <c r="C22" i="1" s="1"/>
  <c r="D25" i="1"/>
  <c r="D22" i="1" s="1"/>
  <c r="E25" i="1"/>
  <c r="E22" i="1" s="1"/>
  <c r="B51" i="1" l="1"/>
  <c r="B50" i="1"/>
  <c r="B49" i="1"/>
  <c r="B48" i="1"/>
  <c r="B47" i="1"/>
  <c r="B14" i="1" l="1"/>
  <c r="B13" i="1" s="1"/>
  <c r="B12" i="1" s="1"/>
  <c r="C14" i="1"/>
  <c r="C13" i="1" s="1"/>
  <c r="C12" i="1" s="1"/>
  <c r="D14" i="1"/>
  <c r="D13" i="1" s="1"/>
  <c r="D12" i="1" s="1"/>
  <c r="E14" i="1"/>
  <c r="E13" i="1" s="1"/>
  <c r="E12" i="1" s="1"/>
  <c r="G53" i="1" l="1"/>
  <c r="N37" i="1"/>
  <c r="O14" i="1"/>
  <c r="O13" i="1" s="1"/>
  <c r="O12" i="1" s="1"/>
  <c r="E75" i="1"/>
  <c r="D75" i="1"/>
  <c r="C75" i="1"/>
  <c r="B75" i="1"/>
  <c r="F14" i="1" l="1"/>
  <c r="N143" i="1" l="1"/>
  <c r="N142" i="1"/>
  <c r="N141" i="1"/>
  <c r="N140" i="1"/>
  <c r="N139" i="1"/>
  <c r="N138" i="1"/>
  <c r="N136" i="1"/>
  <c r="N135" i="1"/>
  <c r="N134" i="1"/>
  <c r="N133" i="1"/>
  <c r="N132" i="1"/>
  <c r="M130" i="1"/>
  <c r="L130" i="1"/>
  <c r="K131" i="1"/>
  <c r="K130" i="1" s="1"/>
  <c r="G130" i="1"/>
  <c r="F131" i="1"/>
  <c r="F130" i="1" s="1"/>
  <c r="E130" i="1"/>
  <c r="D130" i="1"/>
  <c r="C130" i="1"/>
  <c r="B130" i="1"/>
  <c r="H130" i="1"/>
  <c r="N128" i="1"/>
  <c r="N127" i="1"/>
  <c r="N126" i="1"/>
  <c r="N125" i="1"/>
  <c r="N124" i="1"/>
  <c r="N123" i="1"/>
  <c r="E122" i="1"/>
  <c r="N121" i="1"/>
  <c r="N120" i="1"/>
  <c r="N119" i="1"/>
  <c r="N118" i="1"/>
  <c r="N117" i="1"/>
  <c r="N115" i="1"/>
  <c r="N114" i="1"/>
  <c r="N113" i="1"/>
  <c r="N112" i="1"/>
  <c r="N111" i="1"/>
  <c r="N110" i="1"/>
  <c r="N109" i="1"/>
  <c r="N106" i="1"/>
  <c r="N105" i="1"/>
  <c r="N102" i="1"/>
  <c r="N101" i="1"/>
  <c r="N100" i="1"/>
  <c r="N99" i="1"/>
  <c r="N96" i="1"/>
  <c r="N95" i="1"/>
  <c r="N94" i="1"/>
  <c r="N93" i="1"/>
  <c r="N90" i="1"/>
  <c r="N89" i="1"/>
  <c r="N88" i="1"/>
  <c r="N87" i="1"/>
  <c r="N86" i="1"/>
  <c r="M85" i="1"/>
  <c r="M84" i="1" s="1"/>
  <c r="L85" i="1"/>
  <c r="L84" i="1" s="1"/>
  <c r="K85" i="1"/>
  <c r="K84" i="1" s="1"/>
  <c r="J85" i="1"/>
  <c r="J84" i="1" s="1"/>
  <c r="I85" i="1"/>
  <c r="I84" i="1" s="1"/>
  <c r="H85" i="1"/>
  <c r="H84" i="1" s="1"/>
  <c r="G85" i="1"/>
  <c r="G84" i="1" s="1"/>
  <c r="F85" i="1"/>
  <c r="F84" i="1" s="1"/>
  <c r="E85" i="1"/>
  <c r="E84" i="1" s="1"/>
  <c r="D85" i="1"/>
  <c r="D84" i="1" s="1"/>
  <c r="C85" i="1"/>
  <c r="C84" i="1" s="1"/>
  <c r="B85" i="1"/>
  <c r="B84" i="1" s="1"/>
  <c r="N81" i="1"/>
  <c r="N80" i="1"/>
  <c r="N79" i="1"/>
  <c r="N78" i="1"/>
  <c r="N77" i="1"/>
  <c r="N76" i="1"/>
  <c r="M75" i="1"/>
  <c r="L75" i="1"/>
  <c r="K75" i="1"/>
  <c r="J75" i="1"/>
  <c r="I75" i="1"/>
  <c r="H75" i="1"/>
  <c r="G75" i="1"/>
  <c r="F75" i="1"/>
  <c r="N74" i="1"/>
  <c r="N73" i="1"/>
  <c r="N72" i="1"/>
  <c r="N71" i="1"/>
  <c r="N70" i="1"/>
  <c r="M69" i="1"/>
  <c r="L69" i="1"/>
  <c r="K69" i="1"/>
  <c r="J69" i="1"/>
  <c r="I69" i="1"/>
  <c r="H69" i="1"/>
  <c r="G69" i="1"/>
  <c r="F69" i="1"/>
  <c r="E69" i="1"/>
  <c r="D69" i="1"/>
  <c r="D68" i="1" s="1"/>
  <c r="C69" i="1"/>
  <c r="B69" i="1"/>
  <c r="B68" i="1" s="1"/>
  <c r="N65" i="1"/>
  <c r="N64" i="1"/>
  <c r="N63" i="1"/>
  <c r="N62" i="1"/>
  <c r="N61" i="1"/>
  <c r="M60" i="1"/>
  <c r="L60" i="1"/>
  <c r="K60" i="1"/>
  <c r="J60" i="1"/>
  <c r="I60" i="1"/>
  <c r="H60" i="1"/>
  <c r="G60" i="1"/>
  <c r="F60" i="1"/>
  <c r="E60" i="1"/>
  <c r="D60" i="1"/>
  <c r="C60" i="1"/>
  <c r="B60" i="1"/>
  <c r="N58" i="1"/>
  <c r="N57" i="1"/>
  <c r="N55" i="1"/>
  <c r="N54" i="1"/>
  <c r="M53" i="1"/>
  <c r="L53" i="1"/>
  <c r="H53" i="1"/>
  <c r="F53" i="1"/>
  <c r="E53" i="1"/>
  <c r="D53" i="1"/>
  <c r="C53" i="1"/>
  <c r="B53" i="1"/>
  <c r="E46" i="1"/>
  <c r="D46" i="1"/>
  <c r="C46" i="1"/>
  <c r="B46" i="1"/>
  <c r="N50" i="1"/>
  <c r="N49" i="1"/>
  <c r="N48" i="1"/>
  <c r="N47" i="1"/>
  <c r="M46" i="1"/>
  <c r="L46" i="1"/>
  <c r="J46" i="1"/>
  <c r="F46" i="1"/>
  <c r="N44" i="1"/>
  <c r="N42" i="1"/>
  <c r="N40" i="1"/>
  <c r="Q39" i="1"/>
  <c r="P39" i="1"/>
  <c r="O39" i="1"/>
  <c r="M39" i="1"/>
  <c r="L39" i="1"/>
  <c r="K39" i="1"/>
  <c r="J39" i="1"/>
  <c r="I39" i="1"/>
  <c r="H39" i="1"/>
  <c r="G39" i="1"/>
  <c r="F39" i="1"/>
  <c r="E39" i="1"/>
  <c r="D39" i="1"/>
  <c r="C39" i="1"/>
  <c r="B39" i="1"/>
  <c r="P37" i="1"/>
  <c r="N35" i="1"/>
  <c r="O31" i="1"/>
  <c r="N31" i="1"/>
  <c r="O30" i="1"/>
  <c r="N30" i="1"/>
  <c r="N29" i="1"/>
  <c r="N28" i="1"/>
  <c r="N27" i="1"/>
  <c r="N26" i="1"/>
  <c r="N24" i="1"/>
  <c r="N23" i="1"/>
  <c r="M21" i="1"/>
  <c r="J21" i="1"/>
  <c r="F21" i="1"/>
  <c r="E21" i="1"/>
  <c r="C21" i="1"/>
  <c r="S19" i="1"/>
  <c r="N19" i="1"/>
  <c r="N18" i="1"/>
  <c r="Q18" i="1" s="1"/>
  <c r="N17" i="1"/>
  <c r="P17" i="1" s="1"/>
  <c r="S16" i="1"/>
  <c r="N16" i="1"/>
  <c r="N15" i="1"/>
  <c r="M14" i="1"/>
  <c r="M13" i="1" s="1"/>
  <c r="M12" i="1" s="1"/>
  <c r="L13" i="1"/>
  <c r="L12" i="1" s="1"/>
  <c r="K14" i="1"/>
  <c r="K13" i="1" s="1"/>
  <c r="K12" i="1" s="1"/>
  <c r="J14" i="1"/>
  <c r="J13" i="1" s="1"/>
  <c r="J12" i="1" s="1"/>
  <c r="J33" i="1" s="1"/>
  <c r="I13" i="1"/>
  <c r="I12" i="1" s="1"/>
  <c r="H14" i="1"/>
  <c r="H13" i="1" s="1"/>
  <c r="H12" i="1" s="1"/>
  <c r="G14" i="1"/>
  <c r="G13" i="1" s="1"/>
  <c r="G12" i="1" s="1"/>
  <c r="F13" i="1"/>
  <c r="F12" i="1" l="1"/>
  <c r="F33" i="1" s="1"/>
  <c r="B21" i="1"/>
  <c r="B33" i="1"/>
  <c r="Q29" i="1"/>
  <c r="N131" i="1"/>
  <c r="H68" i="1"/>
  <c r="L68" i="1"/>
  <c r="J68" i="1"/>
  <c r="P30" i="1"/>
  <c r="P26" i="1"/>
  <c r="Q27" i="1"/>
  <c r="Q26" i="1"/>
  <c r="P29" i="1"/>
  <c r="P31" i="1"/>
  <c r="F114" i="1"/>
  <c r="F68" i="1"/>
  <c r="N60" i="1"/>
  <c r="C36" i="1"/>
  <c r="N51" i="1"/>
  <c r="N69" i="1"/>
  <c r="C68" i="1"/>
  <c r="G68" i="1"/>
  <c r="K68" i="1"/>
  <c r="N39" i="1"/>
  <c r="E68" i="1"/>
  <c r="I68" i="1"/>
  <c r="M68" i="1"/>
  <c r="M116" i="1" s="1"/>
  <c r="N116" i="1" s="1"/>
  <c r="N14" i="1"/>
  <c r="N13" i="1" s="1"/>
  <c r="P24" i="1"/>
  <c r="K36" i="1"/>
  <c r="K33" i="1"/>
  <c r="G36" i="1"/>
  <c r="G33" i="1"/>
  <c r="M33" i="1"/>
  <c r="M36" i="1"/>
  <c r="L33" i="1"/>
  <c r="L36" i="1"/>
  <c r="N53" i="1"/>
  <c r="E33" i="1"/>
  <c r="Q17" i="1"/>
  <c r="Q35" i="1"/>
  <c r="S20" i="1"/>
  <c r="T20" i="1" s="1"/>
  <c r="Q19" i="1"/>
  <c r="C33" i="1"/>
  <c r="Q24" i="1"/>
  <c r="O25" i="1"/>
  <c r="O22" i="1" s="1"/>
  <c r="N75" i="1"/>
  <c r="N85" i="1"/>
  <c r="N84" i="1" s="1"/>
  <c r="N122" i="1"/>
  <c r="D33" i="1"/>
  <c r="P18" i="1"/>
  <c r="E36" i="1"/>
  <c r="D36" i="1"/>
  <c r="D21" i="1"/>
  <c r="P28" i="1"/>
  <c r="Q28" i="1"/>
  <c r="H33" i="1"/>
  <c r="H36" i="1"/>
  <c r="J36" i="1"/>
  <c r="Q16" i="1"/>
  <c r="P16" i="1"/>
  <c r="I33" i="1"/>
  <c r="I36" i="1"/>
  <c r="B36" i="1"/>
  <c r="P19" i="1"/>
  <c r="P23" i="1"/>
  <c r="P35" i="1"/>
  <c r="Q23" i="1"/>
  <c r="N25" i="1"/>
  <c r="P27" i="1"/>
  <c r="F36" i="1" l="1"/>
  <c r="M145" i="1"/>
  <c r="N145" i="1" s="1"/>
  <c r="N68" i="1"/>
  <c r="O21" i="1"/>
  <c r="P25" i="1"/>
  <c r="P22" i="1" s="1"/>
  <c r="P21" i="1" s="1"/>
  <c r="Q25" i="1"/>
  <c r="N12" i="1"/>
  <c r="N22" i="1"/>
  <c r="P15" i="1" l="1"/>
  <c r="P14" i="1" s="1"/>
  <c r="P13" i="1" s="1"/>
  <c r="Q15" i="1"/>
  <c r="N21" i="1"/>
  <c r="Q21" i="1" s="1"/>
  <c r="Q22" i="1"/>
  <c r="N36" i="1"/>
  <c r="N33" i="1"/>
  <c r="Q14" i="1" l="1"/>
  <c r="O33" i="1" l="1"/>
  <c r="P33" i="1" s="1"/>
  <c r="Q13" i="1"/>
  <c r="Q33" i="1" l="1"/>
  <c r="O36" i="1"/>
  <c r="Q36" i="1" s="1"/>
  <c r="P12" i="1"/>
  <c r="P36" i="1" s="1"/>
  <c r="Q12" i="1"/>
  <c r="U20" i="1"/>
  <c r="N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 TORRES</author>
  </authors>
  <commentList>
    <comment ref="H3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RENE TORRES:</t>
        </r>
        <r>
          <rPr>
            <sz val="9"/>
            <color indexed="81"/>
            <rFont val="Tahoma"/>
            <family val="2"/>
          </rPr>
          <t xml:space="preserve">
30% ANTIC OBRA ALC ING ABES</t>
        </r>
      </text>
    </comment>
    <comment ref="I3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RENE TORRES:</t>
        </r>
        <r>
          <rPr>
            <sz val="9"/>
            <color indexed="81"/>
            <rFont val="Tahoma"/>
            <family val="2"/>
          </rPr>
          <t xml:space="preserve">
EST. 1 OBRA ALC</t>
        </r>
      </text>
    </comment>
  </commentList>
</comments>
</file>

<file path=xl/sharedStrings.xml><?xml version="1.0" encoding="utf-8"?>
<sst xmlns="http://schemas.openxmlformats.org/spreadsheetml/2006/main" count="146" uniqueCount="132">
  <si>
    <t>INDICADORES DE RESULTADOS</t>
  </si>
  <si>
    <t>Ejercicio: 2022</t>
  </si>
  <si>
    <t xml:space="preserve">   PROGRAMA DE INDICADORES DE GESTIÓN 2022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</si>
  <si>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</si>
  <si>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</si>
  <si>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</si>
  <si>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</si>
  <si>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</si>
  <si>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</si>
  <si>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</si>
  <si>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</si>
  <si>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</si>
  <si>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</si>
  <si>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</si>
  <si>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</si>
  <si>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</si>
  <si>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</si>
  <si>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</t>
  </si>
  <si>
    <t>Diferencia</t>
  </si>
  <si>
    <t>Ejer &amp; Ppto</t>
  </si>
  <si>
    <t>1. Ingresos  (A+B)</t>
  </si>
  <si>
    <t>A) Ingresos propios netos (a+b+c)</t>
  </si>
  <si>
    <t>a) Ingresos propios (i+ii)</t>
  </si>
  <si>
    <t>i) ingresos por agua, alcantarillado y saneamiento</t>
  </si>
  <si>
    <t>ii) resto de los ingresos propios</t>
  </si>
  <si>
    <t>b) Descuento social</t>
  </si>
  <si>
    <t>c) Bonificaciones y ajustes</t>
  </si>
  <si>
    <t>C) Ingresos indirectos</t>
  </si>
  <si>
    <t>2. Egresos (A+B)</t>
  </si>
  <si>
    <t>A) Costos y gastos (a+b+c+d)</t>
  </si>
  <si>
    <t>a) Servicios personales</t>
  </si>
  <si>
    <t>b) Materiales y suministros</t>
  </si>
  <si>
    <t>c) Servicios Generales (i+ii+iii)</t>
  </si>
  <si>
    <t>i) Energía eléctrica (operación)</t>
  </si>
  <si>
    <t>ii) Aportaciones y Derechos (DFE)</t>
  </si>
  <si>
    <t>iii) Resto de los Servicios</t>
  </si>
  <si>
    <t>d) Apoyos y transferencias (Jub - JRAP - 5% JCAS)</t>
  </si>
  <si>
    <t>B) Depreciaciones de Activos Fijos</t>
  </si>
  <si>
    <t>C) Otros Gastos (saldos iva prescritos)</t>
  </si>
  <si>
    <t>Ahorro / Desahorro:</t>
  </si>
  <si>
    <t>B) Inversiones propias</t>
  </si>
  <si>
    <t>Déficit o superávit:</t>
  </si>
  <si>
    <t>C) Inversiones de Gobierno</t>
  </si>
  <si>
    <t>Energía Eléctrica de Operación en KW (A+B+C)</t>
  </si>
  <si>
    <t>A) Agua potable</t>
  </si>
  <si>
    <t>B) Alcantarillado</t>
  </si>
  <si>
    <t>C) Saneamiento</t>
  </si>
  <si>
    <r>
      <t>Volumen de agua producida en m</t>
    </r>
    <r>
      <rPr>
        <b/>
        <vertAlign val="superscript"/>
        <sz val="11"/>
        <color indexed="8"/>
        <rFont val="Calibri"/>
        <family val="2"/>
      </rPr>
      <t>3</t>
    </r>
  </si>
  <si>
    <r>
      <t>Volumen de agua facturada en m</t>
    </r>
    <r>
      <rPr>
        <b/>
        <vertAlign val="superscript"/>
        <sz val="11"/>
        <color indexed="8"/>
        <rFont val="Calibri"/>
        <family val="2"/>
      </rPr>
      <t xml:space="preserve">3 </t>
    </r>
    <r>
      <rPr>
        <b/>
        <sz val="11"/>
        <color indexed="8"/>
        <rFont val="Calibri"/>
        <family val="2"/>
      </rPr>
      <t>(A+B+C+D+E)</t>
    </r>
  </si>
  <si>
    <t>A) Doméstico</t>
  </si>
  <si>
    <t>B) Comercial</t>
  </si>
  <si>
    <t>C) Industrial</t>
  </si>
  <si>
    <t>D) Escolar</t>
  </si>
  <si>
    <t>E) Público</t>
  </si>
  <si>
    <r>
      <t>Volumen de agua cobrado en m</t>
    </r>
    <r>
      <rPr>
        <b/>
        <vertAlign val="superscript"/>
        <sz val="11"/>
        <color indexed="8"/>
        <rFont val="Calibri"/>
        <family val="2"/>
      </rPr>
      <t xml:space="preserve">3 </t>
    </r>
    <r>
      <rPr>
        <b/>
        <sz val="11"/>
        <color indexed="8"/>
        <rFont val="Calibri"/>
        <family val="2"/>
      </rPr>
      <t>(A+B)</t>
    </r>
  </si>
  <si>
    <t>A) Tiempo</t>
  </si>
  <si>
    <t>B) Rezago</t>
  </si>
  <si>
    <t>Facturación de Agua, Alcant. y Saneamiento en $ (A+B+C+D+E)</t>
  </si>
  <si>
    <t>Padrón de usuarios</t>
  </si>
  <si>
    <t>Total de conexiones de agua (A+B)</t>
  </si>
  <si>
    <t>A) Conexiones de servicio medido  (a+b+c+d+e)</t>
  </si>
  <si>
    <t>a) Doméstico</t>
  </si>
  <si>
    <t>b) Comercial</t>
  </si>
  <si>
    <t>c) Industrial</t>
  </si>
  <si>
    <t>d) Escolar</t>
  </si>
  <si>
    <t>e) Público</t>
  </si>
  <si>
    <t>B) Conexiones de cuota fija (a+b+c+d+e)</t>
  </si>
  <si>
    <t>Total de descargas de alcantarillado</t>
  </si>
  <si>
    <t xml:space="preserve">Analítico del Rezago </t>
  </si>
  <si>
    <t>Monto del Rezago (A+B+C)</t>
  </si>
  <si>
    <t>A) Rezago cobrable (a+b+c)</t>
  </si>
  <si>
    <t>B) Escolar</t>
  </si>
  <si>
    <t>C) Público</t>
  </si>
  <si>
    <t>No. De tomas con rezago:</t>
  </si>
  <si>
    <t xml:space="preserve">              2 meses</t>
  </si>
  <si>
    <t xml:space="preserve">              4 meses</t>
  </si>
  <si>
    <t xml:space="preserve">              8 meses</t>
  </si>
  <si>
    <t xml:space="preserve">              1 año</t>
  </si>
  <si>
    <t>Tarifa media $/m3</t>
  </si>
  <si>
    <t xml:space="preserve">              Domiciliaria $/m3</t>
  </si>
  <si>
    <t xml:space="preserve">               Comercial $/m3</t>
  </si>
  <si>
    <t xml:space="preserve">               Industrial $/m3</t>
  </si>
  <si>
    <t>A los usuarios de cuota fija se asigna volumen estimado m3/mes</t>
  </si>
  <si>
    <t xml:space="preserve">Coberturas de servicios </t>
  </si>
  <si>
    <t>No. habitantes según censo de CONAPO</t>
  </si>
  <si>
    <t>No. de habitantes con servicio de agua potable</t>
  </si>
  <si>
    <t>No. de habitantes con servicio de alcantarillado</t>
  </si>
  <si>
    <t xml:space="preserve">No. de usuarios con pagos a tiempo </t>
  </si>
  <si>
    <t>No. de usuarios con descuento social</t>
  </si>
  <si>
    <t>Presion minima de suministro en la red (mca)</t>
  </si>
  <si>
    <r>
      <t>Presión media de suministro en la red (mca</t>
    </r>
    <r>
      <rPr>
        <sz val="11"/>
        <rFont val="Calibri"/>
        <family val="2"/>
      </rPr>
      <t>)</t>
    </r>
  </si>
  <si>
    <t>Presion maxina de suministro en la red (mca)</t>
  </si>
  <si>
    <t>Longitud de tubería de distribución  rehabilitada (Km)</t>
  </si>
  <si>
    <t>No. de micromedidores rehabilitados</t>
  </si>
  <si>
    <t>No. de micromedidores funcionando</t>
  </si>
  <si>
    <t>No. de micromedidores instalados nuevos</t>
  </si>
  <si>
    <t>No. de micromedidores calibrados</t>
  </si>
  <si>
    <t>No. de macromedidores instalados en captaciones</t>
  </si>
  <si>
    <t>No. de macromedidores funcionando</t>
  </si>
  <si>
    <t>No. de macromedidores calibrados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</si>
  <si>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</si>
  <si>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</si>
  <si>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</si>
  <si>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</si>
  <si>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</si>
  <si>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</si>
  <si>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</si>
  <si>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</si>
  <si>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A) Empleados Activos (a+b+c)</t>
  </si>
  <si>
    <t>a) Administración</t>
  </si>
  <si>
    <t>b) Comercialización</t>
  </si>
  <si>
    <t>c) Operación</t>
  </si>
  <si>
    <t>d) Saneamiento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</si>
  <si>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</si>
  <si>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</si>
  <si>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</si>
  <si>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</si>
  <si>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</si>
  <si>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</si>
  <si>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</si>
  <si>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</si>
  <si>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</si>
  <si>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 xml:space="preserve">mas de 12 meses </t>
  </si>
  <si>
    <t>JUNTA MUNICIPAL DE AGUA Y SANEAMIENTO DE GUACHOCHI</t>
  </si>
  <si>
    <t xml:space="preserve">Volumen de agua tratado en m3 </t>
  </si>
  <si>
    <t>Volumen de agua generado en m3</t>
  </si>
  <si>
    <t>Longitud total de tubería de distribución (Metros)</t>
  </si>
  <si>
    <t>ENF. LUIS ARMANDO HEREDIA PEREZ</t>
  </si>
  <si>
    <t>LIC. KAREN YOSCELIN BUSTILLOS RUBIO</t>
  </si>
  <si>
    <t>DIR. EJECUTIVO DE LA JUNTA MUNICIPAL</t>
  </si>
  <si>
    <t>DIR. FINANCIERA DE LA JUNTA MUNICIPAL</t>
  </si>
  <si>
    <t>DE AGUA Y SANEAMIENTO DE GUACHOCHI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</si>
</sst>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_(* #,##0.00_);_(* \(#,##0.00\);_(* &quot;-&quot;??_);_(@_)"/>
    <numFmt numFmtId="167" formatCode="_(* #,##0_);_(* \(#,##0\);_(* &quot;-&quot;??_);_(@_)"/>
    <numFmt numFmtId="168" formatCode="_-* #,##0_-;\-* #,##0_-;_-* &quot;-&quot;??_-;_-@_-"/>
    <numFmt numFmtId="169" formatCode="_(* #,##0.000_);_(* \(#,##0.000\);_(* &quot;-&quot;??_);_(@_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 tint="-0.14999847407452621"/>
      <name val="Arial"/>
      <family val="2"/>
    </font>
    <font>
      <sz val="11"/>
      <color indexed="10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b/>
      <sz val="8"/>
      <color theme="0" tint="-0.14999847407452621"/>
      <name val="Arial"/>
      <family val="2"/>
    </font>
    <font>
      <b/>
      <sz val="8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7" fillId="0" borderId="0"/>
    <xf numFmtId="0" fontId="3" fillId="0" borderId="0"/>
    <xf numFmtId="43" fontId="29" fillId="0" borderId="0" applyFont="0" applyFill="0" applyBorder="0" applyAlignment="0" applyProtection="0"/>
  </cellStyleXfs>
  <cellXfs count="226">
    <xf numFmtId="0" fontId="0" fillId="0" borderId="0" xfId="0"/>
    <xf numFmtId="49" fontId="4" fillId="0" borderId="0" xfId="2" applyNumberFormat="1" applyFont="1" applyProtection="1"/>
    <xf numFmtId="44" fontId="5" fillId="0" borderId="0" xfId="3" applyFont="1" applyProtection="1"/>
    <xf numFmtId="44" fontId="5" fillId="0" borderId="0" xfId="3" applyFont="1" applyAlignment="1" applyProtection="1">
      <alignment horizontal="center"/>
    </xf>
    <xf numFmtId="9" fontId="5" fillId="0" borderId="0" xfId="4" applyFont="1" applyAlignment="1" applyProtection="1">
      <alignment horizontal="center"/>
    </xf>
    <xf numFmtId="9" fontId="6" fillId="0" borderId="0" xfId="4" applyFont="1" applyAlignment="1" applyProtection="1">
      <alignment horizontal="center"/>
    </xf>
    <xf numFmtId="0" fontId="3" fillId="0" borderId="0" xfId="2" applyAlignment="1" applyProtection="1">
      <alignment horizontal="center"/>
    </xf>
    <xf numFmtId="0" fontId="3" fillId="0" borderId="0" xfId="2" applyProtection="1"/>
    <xf numFmtId="0" fontId="3" fillId="2" borderId="1" xfId="2" applyFill="1" applyBorder="1" applyProtection="1"/>
    <xf numFmtId="164" fontId="3" fillId="2" borderId="1" xfId="2" applyNumberFormat="1" applyFill="1" applyBorder="1" applyProtection="1"/>
    <xf numFmtId="0" fontId="6" fillId="2" borderId="1" xfId="2" applyFont="1" applyFill="1" applyBorder="1" applyProtection="1"/>
    <xf numFmtId="9" fontId="3" fillId="2" borderId="1" xfId="4" applyNumberFormat="1" applyFont="1" applyFill="1" applyBorder="1" applyAlignment="1" applyProtection="1">
      <alignment horizontal="center"/>
    </xf>
    <xf numFmtId="0" fontId="8" fillId="3" borderId="2" xfId="2" applyFont="1" applyFill="1" applyBorder="1" applyAlignment="1" applyProtection="1">
      <alignment horizontal="center"/>
    </xf>
    <xf numFmtId="164" fontId="8" fillId="3" borderId="2" xfId="2" applyNumberFormat="1" applyFont="1" applyFill="1" applyBorder="1" applyAlignment="1" applyProtection="1">
      <alignment horizontal="center"/>
    </xf>
    <xf numFmtId="0" fontId="9" fillId="3" borderId="3" xfId="2" applyFont="1" applyFill="1" applyBorder="1" applyAlignment="1" applyProtection="1">
      <alignment horizontal="center"/>
    </xf>
    <xf numFmtId="0" fontId="10" fillId="3" borderId="2" xfId="2" applyFont="1" applyFill="1" applyBorder="1" applyAlignment="1" applyProtection="1">
      <alignment horizontal="center"/>
    </xf>
    <xf numFmtId="9" fontId="8" fillId="3" borderId="1" xfId="4" applyNumberFormat="1" applyFont="1" applyFill="1" applyBorder="1" applyAlignment="1" applyProtection="1">
      <alignment horizontal="center"/>
    </xf>
    <xf numFmtId="49" fontId="4" fillId="0" borderId="0" xfId="2" applyNumberFormat="1" applyFont="1" applyAlignment="1" applyProtection="1">
      <alignment horizontal="center"/>
    </xf>
    <xf numFmtId="9" fontId="9" fillId="0" borderId="0" xfId="4" applyFont="1" applyAlignment="1" applyProtection="1">
      <alignment horizontal="center"/>
    </xf>
    <xf numFmtId="0" fontId="8" fillId="0" borderId="0" xfId="2" applyFont="1" applyAlignment="1" applyProtection="1">
      <alignment horizontal="center"/>
    </xf>
    <xf numFmtId="0" fontId="6" fillId="4" borderId="4" xfId="2" applyFont="1" applyFill="1" applyBorder="1" applyProtection="1"/>
    <xf numFmtId="165" fontId="6" fillId="4" borderId="5" xfId="5" applyNumberFormat="1" applyFont="1" applyFill="1" applyBorder="1" applyProtection="1"/>
    <xf numFmtId="9" fontId="6" fillId="4" borderId="5" xfId="4" applyNumberFormat="1" applyFont="1" applyFill="1" applyBorder="1" applyAlignment="1" applyProtection="1">
      <alignment horizontal="center"/>
    </xf>
    <xf numFmtId="0" fontId="6" fillId="0" borderId="0" xfId="2" applyFont="1" applyAlignment="1" applyProtection="1">
      <alignment horizontal="center"/>
    </xf>
    <xf numFmtId="0" fontId="6" fillId="0" borderId="0" xfId="2" applyFont="1" applyProtection="1"/>
    <xf numFmtId="165" fontId="11" fillId="0" borderId="6" xfId="2" applyNumberFormat="1" applyFont="1" applyBorder="1" applyAlignment="1" applyProtection="1">
      <alignment horizontal="left" indent="1"/>
    </xf>
    <xf numFmtId="165" fontId="11" fillId="0" borderId="7" xfId="5" applyNumberFormat="1" applyFont="1" applyBorder="1" applyProtection="1"/>
    <xf numFmtId="165" fontId="11" fillId="0" borderId="7" xfId="5" applyNumberFormat="1" applyFont="1" applyFill="1" applyBorder="1" applyProtection="1"/>
    <xf numFmtId="165" fontId="12" fillId="0" borderId="7" xfId="5" applyNumberFormat="1" applyFont="1" applyBorder="1" applyProtection="1"/>
    <xf numFmtId="9" fontId="11" fillId="0" borderId="8" xfId="4" applyNumberFormat="1" applyFont="1" applyBorder="1" applyAlignment="1" applyProtection="1">
      <alignment horizontal="center"/>
    </xf>
    <xf numFmtId="49" fontId="11" fillId="0" borderId="0" xfId="2" applyNumberFormat="1" applyFont="1" applyProtection="1"/>
    <xf numFmtId="9" fontId="12" fillId="0" borderId="0" xfId="4" applyFont="1" applyAlignment="1" applyProtection="1">
      <alignment horizontal="center"/>
    </xf>
    <xf numFmtId="165" fontId="11" fillId="0" borderId="0" xfId="2" applyNumberFormat="1" applyFont="1" applyAlignment="1" applyProtection="1">
      <alignment horizontal="center"/>
    </xf>
    <xf numFmtId="165" fontId="11" fillId="0" borderId="0" xfId="2" applyNumberFormat="1" applyFont="1" applyProtection="1"/>
    <xf numFmtId="165" fontId="11" fillId="0" borderId="6" xfId="2" applyNumberFormat="1" applyFont="1" applyBorder="1" applyAlignment="1" applyProtection="1">
      <alignment horizontal="left" indent="3"/>
    </xf>
    <xf numFmtId="165" fontId="13" fillId="0" borderId="7" xfId="6" applyNumberFormat="1" applyFont="1" applyBorder="1" applyProtection="1"/>
    <xf numFmtId="165" fontId="13" fillId="0" borderId="7" xfId="6" applyNumberFormat="1" applyFont="1" applyFill="1" applyBorder="1" applyProtection="1"/>
    <xf numFmtId="165" fontId="14" fillId="0" borderId="7" xfId="6" applyNumberFormat="1" applyFont="1" applyBorder="1" applyProtection="1"/>
    <xf numFmtId="9" fontId="13" fillId="0" borderId="8" xfId="4" applyNumberFormat="1" applyFont="1" applyBorder="1" applyAlignment="1" applyProtection="1">
      <alignment horizontal="center"/>
    </xf>
    <xf numFmtId="49" fontId="13" fillId="0" borderId="0" xfId="7" applyNumberFormat="1" applyFont="1" applyAlignment="1">
      <alignment horizontal="center"/>
    </xf>
    <xf numFmtId="165" fontId="11" fillId="0" borderId="6" xfId="2" applyNumberFormat="1" applyFont="1" applyBorder="1" applyAlignment="1" applyProtection="1">
      <alignment horizontal="left" indent="5"/>
    </xf>
    <xf numFmtId="9" fontId="11" fillId="0" borderId="8" xfId="4" applyNumberFormat="1" applyFont="1" applyFill="1" applyBorder="1" applyAlignment="1" applyProtection="1">
      <alignment horizontal="center"/>
    </xf>
    <xf numFmtId="44" fontId="15" fillId="0" borderId="0" xfId="3" applyFont="1" applyProtection="1"/>
    <xf numFmtId="44" fontId="15" fillId="0" borderId="0" xfId="3" applyFont="1" applyAlignment="1" applyProtection="1">
      <alignment horizontal="center"/>
    </xf>
    <xf numFmtId="165" fontId="13" fillId="0" borderId="6" xfId="2" applyNumberFormat="1" applyFont="1" applyBorder="1" applyAlignment="1" applyProtection="1">
      <alignment horizontal="left" indent="3"/>
    </xf>
    <xf numFmtId="165" fontId="16" fillId="0" borderId="7" xfId="6" applyNumberFormat="1" applyFont="1" applyFill="1" applyBorder="1" applyProtection="1"/>
    <xf numFmtId="7" fontId="18" fillId="5" borderId="0" xfId="8" applyNumberFormat="1" applyFont="1" applyFill="1" applyBorder="1" applyAlignment="1">
      <alignment horizontal="right" vertical="top" wrapText="1"/>
    </xf>
    <xf numFmtId="49" fontId="13" fillId="0" borderId="0" xfId="7" applyNumberFormat="1" applyFont="1" applyAlignment="1" applyProtection="1">
      <alignment horizontal="center"/>
    </xf>
    <xf numFmtId="44" fontId="19" fillId="0" borderId="0" xfId="3" applyFont="1" applyAlignment="1" applyProtection="1">
      <alignment horizontal="center"/>
    </xf>
    <xf numFmtId="165" fontId="6" fillId="4" borderId="6" xfId="2" applyNumberFormat="1" applyFont="1" applyFill="1" applyBorder="1" applyProtection="1"/>
    <xf numFmtId="165" fontId="6" fillId="4" borderId="7" xfId="2" applyNumberFormat="1" applyFont="1" applyFill="1" applyBorder="1" applyProtection="1"/>
    <xf numFmtId="9" fontId="6" fillId="4" borderId="8" xfId="4" applyNumberFormat="1" applyFont="1" applyFill="1" applyBorder="1" applyAlignment="1" applyProtection="1">
      <alignment horizontal="center"/>
    </xf>
    <xf numFmtId="49" fontId="1" fillId="0" borderId="0" xfId="7" applyNumberFormat="1" applyFont="1" applyAlignment="1" applyProtection="1">
      <alignment horizontal="center"/>
    </xf>
    <xf numFmtId="165" fontId="6" fillId="0" borderId="0" xfId="2" applyNumberFormat="1" applyFont="1" applyAlignment="1" applyProtection="1">
      <alignment horizontal="center"/>
    </xf>
    <xf numFmtId="165" fontId="6" fillId="0" borderId="0" xfId="2" applyNumberFormat="1" applyFont="1" applyProtection="1"/>
    <xf numFmtId="165" fontId="11" fillId="6" borderId="6" xfId="2" applyNumberFormat="1" applyFont="1" applyFill="1" applyBorder="1" applyAlignment="1" applyProtection="1">
      <alignment horizontal="left" indent="1"/>
    </xf>
    <xf numFmtId="165" fontId="11" fillId="6" borderId="7" xfId="2" applyNumberFormat="1" applyFont="1" applyFill="1" applyBorder="1" applyProtection="1"/>
    <xf numFmtId="9" fontId="11" fillId="6" borderId="8" xfId="4" applyNumberFormat="1" applyFont="1" applyFill="1" applyBorder="1" applyAlignment="1" applyProtection="1">
      <alignment horizontal="center"/>
    </xf>
    <xf numFmtId="165" fontId="14" fillId="0" borderId="7" xfId="6" applyNumberFormat="1" applyFont="1" applyFill="1" applyBorder="1" applyProtection="1"/>
    <xf numFmtId="9" fontId="14" fillId="0" borderId="0" xfId="4" applyFont="1" applyAlignment="1" applyProtection="1">
      <alignment horizontal="center"/>
    </xf>
    <xf numFmtId="9" fontId="13" fillId="0" borderId="8" xfId="4" applyNumberFormat="1" applyFont="1" applyFill="1" applyBorder="1" applyAlignment="1" applyProtection="1">
      <alignment horizontal="center"/>
    </xf>
    <xf numFmtId="44" fontId="20" fillId="0" borderId="0" xfId="3" applyFont="1" applyAlignment="1" applyProtection="1">
      <alignment horizontal="center"/>
    </xf>
    <xf numFmtId="165" fontId="11" fillId="0" borderId="7" xfId="9" applyNumberFormat="1" applyFont="1" applyFill="1" applyBorder="1" applyProtection="1"/>
    <xf numFmtId="165" fontId="11" fillId="0" borderId="7" xfId="2" applyNumberFormat="1" applyFont="1" applyFill="1" applyBorder="1" applyProtection="1"/>
    <xf numFmtId="165" fontId="11" fillId="7" borderId="6" xfId="2" applyNumberFormat="1" applyFont="1" applyFill="1" applyBorder="1" applyAlignment="1" applyProtection="1">
      <alignment horizontal="left" indent="1"/>
    </xf>
    <xf numFmtId="165" fontId="13" fillId="7" borderId="7" xfId="6" applyNumberFormat="1" applyFont="1" applyFill="1" applyBorder="1" applyProtection="1"/>
    <xf numFmtId="165" fontId="14" fillId="7" borderId="7" xfId="6" applyNumberFormat="1" applyFont="1" applyFill="1" applyBorder="1" applyProtection="1"/>
    <xf numFmtId="165" fontId="11" fillId="7" borderId="7" xfId="5" applyNumberFormat="1" applyFont="1" applyFill="1" applyBorder="1" applyProtection="1"/>
    <xf numFmtId="9" fontId="11" fillId="7" borderId="8" xfId="4" applyNumberFormat="1" applyFont="1" applyFill="1" applyBorder="1" applyAlignment="1" applyProtection="1">
      <alignment horizontal="center"/>
    </xf>
    <xf numFmtId="165" fontId="4" fillId="0" borderId="6" xfId="2" applyNumberFormat="1" applyFont="1" applyBorder="1" applyAlignment="1" applyProtection="1">
      <alignment horizontal="left" indent="3"/>
    </xf>
    <xf numFmtId="165" fontId="4" fillId="0" borderId="7" xfId="2" applyNumberFormat="1" applyFont="1" applyFill="1" applyBorder="1" applyProtection="1"/>
    <xf numFmtId="165" fontId="5" fillId="0" borderId="7" xfId="2" applyNumberFormat="1" applyFont="1" applyFill="1" applyBorder="1" applyProtection="1"/>
    <xf numFmtId="165" fontId="4" fillId="0" borderId="7" xfId="5" applyNumberFormat="1" applyFont="1" applyBorder="1" applyProtection="1"/>
    <xf numFmtId="9" fontId="4" fillId="0" borderId="8" xfId="4" applyNumberFormat="1" applyFont="1" applyBorder="1" applyAlignment="1" applyProtection="1">
      <alignment horizontal="center"/>
    </xf>
    <xf numFmtId="165" fontId="4" fillId="0" borderId="0" xfId="2" applyNumberFormat="1" applyFont="1" applyAlignment="1" applyProtection="1">
      <alignment horizontal="center"/>
    </xf>
    <xf numFmtId="165" fontId="4" fillId="0" borderId="0" xfId="2" applyNumberFormat="1" applyFont="1" applyProtection="1"/>
    <xf numFmtId="165" fontId="21" fillId="4" borderId="6" xfId="2" applyNumberFormat="1" applyFont="1" applyFill="1" applyBorder="1" applyAlignment="1" applyProtection="1">
      <alignment horizontal="right" indent="1"/>
    </xf>
    <xf numFmtId="9" fontId="6" fillId="4" borderId="7" xfId="4" applyNumberFormat="1" applyFont="1" applyFill="1" applyBorder="1" applyAlignment="1" applyProtection="1">
      <alignment horizontal="center"/>
    </xf>
    <xf numFmtId="165" fontId="22" fillId="0" borderId="6" xfId="2" applyNumberFormat="1" applyFont="1" applyFill="1" applyBorder="1" applyAlignment="1" applyProtection="1">
      <alignment horizontal="right" indent="1"/>
    </xf>
    <xf numFmtId="165" fontId="3" fillId="0" borderId="7" xfId="2" applyNumberFormat="1" applyFont="1" applyFill="1" applyBorder="1" applyProtection="1"/>
    <xf numFmtId="165" fontId="6" fillId="0" borderId="7" xfId="2" applyNumberFormat="1" applyFont="1" applyFill="1" applyBorder="1" applyProtection="1"/>
    <xf numFmtId="165" fontId="3" fillId="0" borderId="7" xfId="5" applyNumberFormat="1" applyFont="1" applyFill="1" applyBorder="1" applyProtection="1"/>
    <xf numFmtId="9" fontId="3" fillId="0" borderId="8" xfId="4" applyNumberFormat="1" applyFont="1" applyBorder="1" applyAlignment="1" applyProtection="1">
      <alignment horizontal="center"/>
    </xf>
    <xf numFmtId="49" fontId="4" fillId="0" borderId="0" xfId="2" applyNumberFormat="1" applyFont="1" applyFill="1" applyProtection="1"/>
    <xf numFmtId="165" fontId="3" fillId="0" borderId="0" xfId="2" applyNumberFormat="1" applyFont="1" applyFill="1" applyProtection="1"/>
    <xf numFmtId="9" fontId="6" fillId="0" borderId="0" xfId="4" applyFont="1" applyFill="1" applyAlignment="1" applyProtection="1">
      <alignment horizontal="center"/>
    </xf>
    <xf numFmtId="165" fontId="3" fillId="0" borderId="0" xfId="2" applyNumberFormat="1" applyFont="1" applyFill="1" applyAlignment="1" applyProtection="1">
      <alignment horizontal="center"/>
    </xf>
    <xf numFmtId="165" fontId="13" fillId="0" borderId="0" xfId="6" applyNumberFormat="1" applyFont="1" applyFill="1" applyProtection="1"/>
    <xf numFmtId="44" fontId="12" fillId="0" borderId="0" xfId="3" applyFont="1" applyAlignment="1" applyProtection="1">
      <alignment horizontal="center"/>
    </xf>
    <xf numFmtId="44" fontId="12" fillId="0" borderId="0" xfId="3" applyFont="1" applyProtection="1"/>
    <xf numFmtId="165" fontId="11" fillId="0" borderId="9" xfId="2" applyNumberFormat="1" applyFont="1" applyFill="1" applyBorder="1" applyAlignment="1" applyProtection="1">
      <alignment horizontal="left" indent="1"/>
    </xf>
    <xf numFmtId="165" fontId="13" fillId="0" borderId="0" xfId="6" applyNumberFormat="1" applyFont="1" applyFill="1" applyAlignment="1" applyProtection="1"/>
    <xf numFmtId="165" fontId="11" fillId="0" borderId="10" xfId="2" applyNumberFormat="1" applyFont="1" applyFill="1" applyBorder="1" applyProtection="1"/>
    <xf numFmtId="165" fontId="11" fillId="0" borderId="10" xfId="5" applyNumberFormat="1" applyFont="1" applyBorder="1" applyProtection="1"/>
    <xf numFmtId="9" fontId="11" fillId="0" borderId="11" xfId="4" applyNumberFormat="1" applyFont="1" applyBorder="1" applyAlignment="1" applyProtection="1">
      <alignment horizontal="center"/>
    </xf>
    <xf numFmtId="0" fontId="3" fillId="0" borderId="12" xfId="2" applyBorder="1" applyAlignment="1" applyProtection="1">
      <alignment horizontal="left" indent="1"/>
    </xf>
    <xf numFmtId="164" fontId="3" fillId="0" borderId="12" xfId="2" applyNumberFormat="1" applyFill="1" applyBorder="1" applyProtection="1"/>
    <xf numFmtId="164" fontId="6" fillId="0" borderId="12" xfId="2" applyNumberFormat="1" applyFont="1" applyFill="1" applyBorder="1" applyProtection="1"/>
    <xf numFmtId="165" fontId="6" fillId="0" borderId="12" xfId="5" applyNumberFormat="1" applyFont="1" applyBorder="1" applyProtection="1"/>
    <xf numFmtId="9" fontId="3" fillId="0" borderId="12" xfId="4" applyNumberFormat="1" applyFont="1" applyBorder="1" applyAlignment="1" applyProtection="1">
      <alignment horizontal="center"/>
    </xf>
    <xf numFmtId="167" fontId="6" fillId="4" borderId="14" xfId="6" applyNumberFormat="1" applyFont="1" applyFill="1" applyBorder="1" applyProtection="1"/>
    <xf numFmtId="9" fontId="6" fillId="4" borderId="14" xfId="6" applyNumberFormat="1" applyFont="1" applyFill="1" applyBorder="1" applyAlignment="1" applyProtection="1">
      <alignment horizontal="center"/>
    </xf>
    <xf numFmtId="49" fontId="4" fillId="0" borderId="0" xfId="6" applyNumberFormat="1" applyFont="1" applyProtection="1"/>
    <xf numFmtId="167" fontId="6" fillId="0" borderId="0" xfId="6" applyNumberFormat="1" applyFont="1" applyAlignment="1" applyProtection="1">
      <alignment horizontal="center"/>
    </xf>
    <xf numFmtId="167" fontId="6" fillId="0" borderId="0" xfId="6" applyNumberFormat="1" applyFont="1" applyProtection="1"/>
    <xf numFmtId="167" fontId="11" fillId="0" borderId="6" xfId="6" applyNumberFormat="1" applyFont="1" applyBorder="1" applyAlignment="1" applyProtection="1">
      <alignment horizontal="left" indent="1"/>
    </xf>
    <xf numFmtId="167" fontId="11" fillId="0" borderId="7" xfId="6" applyNumberFormat="1" applyFont="1" applyFill="1" applyBorder="1" applyProtection="1">
      <protection locked="0"/>
    </xf>
    <xf numFmtId="167" fontId="12" fillId="0" borderId="15" xfId="6" applyNumberFormat="1" applyFont="1" applyFill="1" applyBorder="1" applyProtection="1"/>
    <xf numFmtId="167" fontId="11" fillId="0" borderId="7" xfId="6" applyNumberFormat="1" applyFont="1" applyBorder="1" applyProtection="1"/>
    <xf numFmtId="167" fontId="11" fillId="0" borderId="0" xfId="6" applyNumberFormat="1" applyFont="1" applyProtection="1"/>
    <xf numFmtId="167" fontId="11" fillId="0" borderId="0" xfId="6" applyNumberFormat="1" applyFont="1" applyAlignment="1" applyProtection="1">
      <alignment horizontal="center"/>
    </xf>
    <xf numFmtId="167" fontId="11" fillId="0" borderId="14" xfId="6" applyNumberFormat="1" applyFont="1" applyFill="1" applyBorder="1" applyProtection="1"/>
    <xf numFmtId="49" fontId="11" fillId="0" borderId="0" xfId="6" applyNumberFormat="1" applyFont="1" applyProtection="1"/>
    <xf numFmtId="0" fontId="11" fillId="0" borderId="6" xfId="2" applyFont="1" applyBorder="1" applyAlignment="1" applyProtection="1">
      <alignment horizontal="left" indent="1"/>
    </xf>
    <xf numFmtId="164" fontId="11" fillId="0" borderId="7" xfId="2" applyNumberFormat="1" applyFont="1" applyFill="1" applyBorder="1" applyProtection="1"/>
    <xf numFmtId="0" fontId="11" fillId="0" borderId="7" xfId="2" applyFont="1" applyFill="1" applyBorder="1" applyProtection="1"/>
    <xf numFmtId="164" fontId="12" fillId="0" borderId="15" xfId="2" applyNumberFormat="1" applyFont="1" applyFill="1" applyBorder="1" applyProtection="1"/>
    <xf numFmtId="0" fontId="11" fillId="0" borderId="7" xfId="2" applyFont="1" applyBorder="1" applyProtection="1"/>
    <xf numFmtId="4" fontId="11" fillId="0" borderId="7" xfId="2" applyNumberFormat="1" applyFont="1" applyBorder="1" applyProtection="1"/>
    <xf numFmtId="0" fontId="11" fillId="0" borderId="0" xfId="2" applyFont="1" applyAlignment="1" applyProtection="1">
      <alignment horizontal="center"/>
    </xf>
    <xf numFmtId="0" fontId="11" fillId="0" borderId="0" xfId="2" applyFont="1" applyProtection="1"/>
    <xf numFmtId="167" fontId="12" fillId="4" borderId="6" xfId="6" applyNumberFormat="1" applyFont="1" applyFill="1" applyBorder="1" applyProtection="1"/>
    <xf numFmtId="164" fontId="12" fillId="4" borderId="7" xfId="5" applyNumberFormat="1" applyFont="1" applyFill="1" applyBorder="1" applyAlignment="1" applyProtection="1">
      <alignment horizontal="right"/>
    </xf>
    <xf numFmtId="167" fontId="12" fillId="4" borderId="7" xfId="6" applyNumberFormat="1" applyFont="1" applyFill="1" applyBorder="1" applyProtection="1">
      <protection locked="0"/>
    </xf>
    <xf numFmtId="167" fontId="12" fillId="4" borderId="15" xfId="6" applyNumberFormat="1" applyFont="1" applyFill="1" applyBorder="1" applyProtection="1"/>
    <xf numFmtId="167" fontId="12" fillId="4" borderId="7" xfId="6" applyNumberFormat="1" applyFont="1" applyFill="1" applyBorder="1" applyProtection="1"/>
    <xf numFmtId="9" fontId="12" fillId="4" borderId="8" xfId="4" applyNumberFormat="1" applyFont="1" applyFill="1" applyBorder="1" applyAlignment="1" applyProtection="1">
      <alignment horizontal="center"/>
    </xf>
    <xf numFmtId="167" fontId="12" fillId="0" borderId="0" xfId="6" applyNumberFormat="1" applyFont="1" applyAlignment="1" applyProtection="1">
      <alignment horizontal="center"/>
    </xf>
    <xf numFmtId="167" fontId="12" fillId="0" borderId="0" xfId="6" applyNumberFormat="1" applyFont="1" applyProtection="1"/>
    <xf numFmtId="0" fontId="6" fillId="0" borderId="6" xfId="2" applyFont="1" applyBorder="1" applyProtection="1"/>
    <xf numFmtId="164" fontId="6" fillId="0" borderId="7" xfId="5" applyNumberFormat="1" applyFont="1" applyFill="1" applyBorder="1" applyProtection="1"/>
    <xf numFmtId="0" fontId="6" fillId="0" borderId="7" xfId="2" applyFont="1" applyFill="1" applyBorder="1" applyProtection="1"/>
    <xf numFmtId="164" fontId="6" fillId="0" borderId="15" xfId="2" applyNumberFormat="1" applyFont="1" applyFill="1" applyBorder="1" applyProtection="1"/>
    <xf numFmtId="0" fontId="6" fillId="0" borderId="7" xfId="2" applyFont="1" applyBorder="1" applyProtection="1"/>
    <xf numFmtId="4" fontId="6" fillId="0" borderId="7" xfId="2" applyNumberFormat="1" applyFont="1" applyBorder="1" applyProtection="1"/>
    <xf numFmtId="9" fontId="6" fillId="0" borderId="8" xfId="4" applyNumberFormat="1" applyFont="1" applyBorder="1" applyAlignment="1" applyProtection="1">
      <alignment horizontal="center"/>
    </xf>
    <xf numFmtId="167" fontId="6" fillId="4" borderId="6" xfId="6" applyNumberFormat="1" applyFont="1" applyFill="1" applyBorder="1" applyProtection="1"/>
    <xf numFmtId="167" fontId="6" fillId="4" borderId="7" xfId="6" applyNumberFormat="1" applyFont="1" applyFill="1" applyBorder="1" applyProtection="1"/>
    <xf numFmtId="167" fontId="3" fillId="0" borderId="6" xfId="6" applyNumberFormat="1" applyFont="1" applyBorder="1" applyAlignment="1" applyProtection="1">
      <alignment horizontal="left" indent="1"/>
    </xf>
    <xf numFmtId="167" fontId="3" fillId="0" borderId="7" xfId="6" applyNumberFormat="1" applyFont="1" applyFill="1" applyBorder="1" applyProtection="1"/>
    <xf numFmtId="167" fontId="6" fillId="0" borderId="15" xfId="6" applyNumberFormat="1" applyFont="1" applyFill="1" applyBorder="1" applyProtection="1"/>
    <xf numFmtId="167" fontId="3" fillId="0" borderId="7" xfId="6" applyNumberFormat="1" applyFont="1" applyBorder="1" applyProtection="1"/>
    <xf numFmtId="167" fontId="3" fillId="0" borderId="0" xfId="6" applyNumberFormat="1" applyFont="1" applyAlignment="1" applyProtection="1">
      <alignment horizontal="center"/>
    </xf>
    <xf numFmtId="167" fontId="3" fillId="0" borderId="0" xfId="6" applyNumberFormat="1" applyFont="1" applyProtection="1"/>
    <xf numFmtId="167" fontId="6" fillId="4" borderId="6" xfId="6" applyNumberFormat="1" applyFont="1" applyFill="1" applyBorder="1" applyAlignment="1" applyProtection="1">
      <alignment horizontal="left"/>
    </xf>
    <xf numFmtId="164" fontId="11" fillId="0" borderId="7" xfId="5" applyNumberFormat="1" applyFont="1" applyFill="1" applyBorder="1" applyProtection="1"/>
    <xf numFmtId="43" fontId="12" fillId="0" borderId="7" xfId="2" applyNumberFormat="1" applyFont="1" applyFill="1" applyBorder="1" applyProtection="1"/>
    <xf numFmtId="0" fontId="12" fillId="0" borderId="7" xfId="2" applyFont="1" applyFill="1" applyBorder="1" applyProtection="1"/>
    <xf numFmtId="0" fontId="12" fillId="0" borderId="7" xfId="2" applyFont="1" applyBorder="1" applyProtection="1"/>
    <xf numFmtId="9" fontId="12" fillId="0" borderId="8" xfId="4" applyNumberFormat="1" applyFont="1" applyBorder="1" applyAlignment="1" applyProtection="1">
      <alignment horizontal="center"/>
    </xf>
    <xf numFmtId="0" fontId="12" fillId="0" borderId="0" xfId="2" applyFont="1" applyAlignment="1" applyProtection="1">
      <alignment horizontal="center"/>
    </xf>
    <xf numFmtId="0" fontId="12" fillId="0" borderId="0" xfId="2" applyFont="1" applyProtection="1"/>
    <xf numFmtId="167" fontId="11" fillId="0" borderId="7" xfId="6" applyNumberFormat="1" applyFont="1" applyFill="1" applyBorder="1" applyAlignment="1" applyProtection="1">
      <alignment horizontal="right"/>
      <protection locked="0"/>
    </xf>
    <xf numFmtId="0" fontId="6" fillId="0" borderId="6" xfId="2" applyFont="1" applyBorder="1" applyAlignment="1" applyProtection="1">
      <alignment horizontal="left"/>
    </xf>
    <xf numFmtId="164" fontId="3" fillId="0" borderId="7" xfId="5" applyNumberFormat="1" applyFont="1" applyFill="1" applyBorder="1" applyProtection="1"/>
    <xf numFmtId="43" fontId="6" fillId="0" borderId="7" xfId="2" applyNumberFormat="1" applyFont="1" applyFill="1" applyBorder="1" applyProtection="1"/>
    <xf numFmtId="167" fontId="12" fillId="0" borderId="6" xfId="6" applyNumberFormat="1" applyFont="1" applyBorder="1" applyProtection="1"/>
    <xf numFmtId="167" fontId="11" fillId="0" borderId="7" xfId="6" applyNumberFormat="1" applyFont="1" applyFill="1" applyBorder="1" applyProtection="1"/>
    <xf numFmtId="167" fontId="3" fillId="4" borderId="7" xfId="6" applyNumberFormat="1" applyFont="1" applyFill="1" applyBorder="1" applyProtection="1"/>
    <xf numFmtId="9" fontId="3" fillId="4" borderId="8" xfId="4" applyNumberFormat="1" applyFont="1" applyFill="1" applyBorder="1" applyAlignment="1" applyProtection="1">
      <alignment horizontal="center"/>
    </xf>
    <xf numFmtId="167" fontId="12" fillId="0" borderId="7" xfId="6" applyNumberFormat="1" applyFont="1" applyFill="1" applyBorder="1" applyProtection="1"/>
    <xf numFmtId="167" fontId="11" fillId="0" borderId="6" xfId="6" applyNumberFormat="1" applyFont="1" applyBorder="1" applyAlignment="1" applyProtection="1">
      <alignment horizontal="left" indent="3"/>
    </xf>
    <xf numFmtId="0" fontId="12" fillId="0" borderId="6" xfId="2" applyFont="1" applyBorder="1" applyAlignment="1" applyProtection="1">
      <alignment horizontal="left"/>
    </xf>
    <xf numFmtId="167" fontId="12" fillId="0" borderId="7" xfId="6" applyNumberFormat="1" applyFont="1" applyFill="1" applyBorder="1" applyProtection="1">
      <protection locked="0"/>
    </xf>
    <xf numFmtId="3" fontId="11" fillId="0" borderId="7" xfId="2" applyNumberFormat="1" applyFont="1" applyFill="1" applyBorder="1" applyProtection="1"/>
    <xf numFmtId="9" fontId="11" fillId="0" borderId="7" xfId="4" applyFont="1" applyFill="1" applyBorder="1" applyProtection="1"/>
    <xf numFmtId="43" fontId="11" fillId="0" borderId="7" xfId="2" applyNumberFormat="1" applyFont="1" applyFill="1" applyBorder="1" applyProtection="1"/>
    <xf numFmtId="0" fontId="6" fillId="4" borderId="6" xfId="2" applyFont="1" applyFill="1" applyBorder="1" applyProtection="1"/>
    <xf numFmtId="164" fontId="6" fillId="4" borderId="7" xfId="2" applyNumberFormat="1" applyFont="1" applyFill="1" applyBorder="1" applyProtection="1"/>
    <xf numFmtId="0" fontId="3" fillId="4" borderId="7" xfId="2" applyFill="1" applyBorder="1" applyProtection="1"/>
    <xf numFmtId="167" fontId="11" fillId="0" borderId="6" xfId="6" applyNumberFormat="1" applyFont="1" applyFill="1" applyBorder="1" applyAlignment="1" applyProtection="1">
      <alignment horizontal="left" indent="1"/>
    </xf>
    <xf numFmtId="0" fontId="12" fillId="4" borderId="6" xfId="2" applyFont="1" applyFill="1" applyBorder="1" applyAlignment="1" applyProtection="1">
      <alignment horizontal="left"/>
    </xf>
    <xf numFmtId="164" fontId="11" fillId="4" borderId="7" xfId="2" applyNumberFormat="1" applyFont="1" applyFill="1" applyBorder="1" applyProtection="1"/>
    <xf numFmtId="3" fontId="11" fillId="4" borderId="7" xfId="2" applyNumberFormat="1" applyFont="1" applyFill="1" applyBorder="1" applyProtection="1"/>
    <xf numFmtId="0" fontId="11" fillId="4" borderId="7" xfId="2" applyFont="1" applyFill="1" applyBorder="1" applyProtection="1"/>
    <xf numFmtId="164" fontId="12" fillId="4" borderId="15" xfId="2" applyNumberFormat="1" applyFont="1" applyFill="1" applyBorder="1" applyProtection="1"/>
    <xf numFmtId="9" fontId="11" fillId="4" borderId="8" xfId="4" applyNumberFormat="1" applyFont="1" applyFill="1" applyBorder="1" applyAlignment="1" applyProtection="1">
      <alignment horizontal="center"/>
    </xf>
    <xf numFmtId="0" fontId="11" fillId="0" borderId="6" xfId="2" applyFont="1" applyBorder="1" applyAlignment="1" applyProtection="1">
      <alignment horizontal="left"/>
    </xf>
    <xf numFmtId="168" fontId="11" fillId="0" borderId="7" xfId="6" applyNumberFormat="1" applyFont="1" applyFill="1" applyBorder="1" applyProtection="1">
      <protection locked="0"/>
    </xf>
    <xf numFmtId="0" fontId="11" fillId="0" borderId="6" xfId="2" applyFont="1" applyBorder="1" applyProtection="1"/>
    <xf numFmtId="0" fontId="12" fillId="0" borderId="15" xfId="2" applyNumberFormat="1" applyFont="1" applyFill="1" applyBorder="1" applyProtection="1"/>
    <xf numFmtId="166" fontId="11" fillId="0" borderId="7" xfId="6" applyFont="1" applyFill="1" applyBorder="1" applyProtection="1">
      <protection locked="0"/>
    </xf>
    <xf numFmtId="169" fontId="11" fillId="0" borderId="7" xfId="6" applyNumberFormat="1" applyFont="1" applyFill="1" applyBorder="1" applyProtection="1">
      <protection locked="0"/>
    </xf>
    <xf numFmtId="169" fontId="12" fillId="0" borderId="15" xfId="2" applyNumberFormat="1" applyFont="1" applyFill="1" applyBorder="1" applyProtection="1"/>
    <xf numFmtId="166" fontId="12" fillId="0" borderId="15" xfId="2" applyNumberFormat="1" applyFont="1" applyFill="1" applyBorder="1" applyProtection="1"/>
    <xf numFmtId="167" fontId="11" fillId="0" borderId="7" xfId="6" applyNumberFormat="1" applyFont="1" applyFill="1" applyBorder="1" applyAlignment="1" applyProtection="1">
      <protection locked="0"/>
    </xf>
    <xf numFmtId="0" fontId="11" fillId="0" borderId="13" xfId="2" applyFont="1" applyFill="1" applyBorder="1" applyProtection="1"/>
    <xf numFmtId="0" fontId="11" fillId="0" borderId="13" xfId="2" applyFont="1" applyBorder="1" applyProtection="1"/>
    <xf numFmtId="164" fontId="12" fillId="4" borderId="7" xfId="2" applyNumberFormat="1" applyFont="1" applyFill="1" applyBorder="1" applyProtection="1"/>
    <xf numFmtId="0" fontId="11" fillId="0" borderId="6" xfId="2" applyFont="1" applyBorder="1" applyAlignment="1" applyProtection="1">
      <alignment horizontal="left" indent="3"/>
    </xf>
    <xf numFmtId="164" fontId="11" fillId="0" borderId="7" xfId="2" applyNumberFormat="1" applyFont="1" applyFill="1" applyBorder="1" applyProtection="1">
      <protection locked="0"/>
    </xf>
    <xf numFmtId="164" fontId="11" fillId="0" borderId="7" xfId="9" applyNumberFormat="1" applyFont="1" applyFill="1" applyBorder="1" applyProtection="1">
      <protection locked="0"/>
    </xf>
    <xf numFmtId="0" fontId="11" fillId="0" borderId="6" xfId="2" applyFont="1" applyFill="1" applyBorder="1" applyAlignment="1" applyProtection="1">
      <alignment horizontal="left"/>
    </xf>
    <xf numFmtId="167" fontId="11" fillId="0" borderId="16" xfId="6" applyNumberFormat="1" applyFont="1" applyFill="1" applyBorder="1" applyProtection="1">
      <protection locked="0"/>
    </xf>
    <xf numFmtId="0" fontId="11" fillId="0" borderId="17" xfId="2" applyFont="1" applyBorder="1" applyProtection="1"/>
    <xf numFmtId="164" fontId="11" fillId="0" borderId="18" xfId="2" applyNumberFormat="1" applyFont="1" applyFill="1" applyBorder="1" applyProtection="1"/>
    <xf numFmtId="0" fontId="11" fillId="0" borderId="19" xfId="2" applyFont="1" applyFill="1" applyBorder="1" applyProtection="1"/>
    <xf numFmtId="0" fontId="11" fillId="0" borderId="10" xfId="2" applyFont="1" applyBorder="1" applyProtection="1"/>
    <xf numFmtId="0" fontId="3" fillId="0" borderId="0" xfId="2" applyFont="1" applyAlignment="1" applyProtection="1">
      <alignment horizontal="right"/>
    </xf>
    <xf numFmtId="164" fontId="3" fillId="0" borderId="0" xfId="2" applyNumberFormat="1" applyProtection="1"/>
    <xf numFmtId="9" fontId="3" fillId="0" borderId="0" xfId="4" applyNumberFormat="1" applyFont="1" applyAlignment="1" applyProtection="1">
      <alignment horizontal="center"/>
    </xf>
    <xf numFmtId="2" fontId="28" fillId="5" borderId="0" xfId="8" applyNumberFormat="1" applyFont="1" applyFill="1" applyBorder="1" applyAlignment="1"/>
    <xf numFmtId="165" fontId="13" fillId="0" borderId="7" xfId="9" applyNumberFormat="1" applyFont="1" applyFill="1" applyBorder="1" applyProtection="1"/>
    <xf numFmtId="167" fontId="11" fillId="0" borderId="15" xfId="6" applyNumberFormat="1" applyFont="1" applyFill="1" applyBorder="1" applyProtection="1">
      <protection locked="0"/>
    </xf>
    <xf numFmtId="167" fontId="12" fillId="4" borderId="14" xfId="6" applyNumberFormat="1" applyFont="1" applyFill="1" applyBorder="1" applyProtection="1">
      <protection locked="0"/>
    </xf>
    <xf numFmtId="0" fontId="11" fillId="0" borderId="21" xfId="2" applyFont="1" applyFill="1" applyBorder="1" applyProtection="1"/>
    <xf numFmtId="43" fontId="28" fillId="5" borderId="0" xfId="10" applyFont="1" applyFill="1" applyBorder="1" applyAlignment="1">
      <alignment horizontal="right" vertical="top" wrapText="1"/>
    </xf>
    <xf numFmtId="167" fontId="12" fillId="0" borderId="22" xfId="6" applyNumberFormat="1" applyFont="1" applyFill="1" applyBorder="1" applyAlignment="1" applyProtection="1">
      <alignment horizontal="left" indent="1"/>
    </xf>
    <xf numFmtId="0" fontId="31" fillId="0" borderId="0" xfId="0" applyFont="1"/>
    <xf numFmtId="0" fontId="0" fillId="4" borderId="0" xfId="0" applyFill="1"/>
    <xf numFmtId="9" fontId="30" fillId="0" borderId="0" xfId="4" applyFont="1" applyAlignment="1" applyProtection="1">
      <alignment horizontal="center"/>
    </xf>
    <xf numFmtId="44" fontId="32" fillId="5" borderId="0" xfId="3" applyFont="1" applyFill="1" applyAlignment="1" applyProtection="1">
      <alignment horizontal="center"/>
    </xf>
    <xf numFmtId="167" fontId="11" fillId="0" borderId="23" xfId="6" applyNumberFormat="1" applyFont="1" applyFill="1" applyBorder="1" applyProtection="1">
      <protection locked="0"/>
    </xf>
    <xf numFmtId="167" fontId="13" fillId="0" borderId="20" xfId="6" applyNumberFormat="1" applyFont="1" applyFill="1" applyBorder="1" applyProtection="1">
      <protection locked="0"/>
    </xf>
    <xf numFmtId="167" fontId="24" fillId="0" borderId="9" xfId="6" applyNumberFormat="1" applyFont="1" applyFill="1" applyBorder="1" applyAlignment="1" applyProtection="1">
      <alignment horizontal="left" vertical="center" wrapText="1"/>
    </xf>
    <xf numFmtId="167" fontId="24" fillId="0" borderId="13" xfId="6" applyNumberFormat="1" applyFont="1" applyFill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center"/>
      <protection locked="0"/>
    </xf>
    <xf numFmtId="0" fontId="7" fillId="8" borderId="1" xfId="2" applyFont="1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33" fillId="0" borderId="24" xfId="0" applyFont="1" applyBorder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" fillId="0" borderId="24" xfId="2" applyBorder="1" applyProtection="1"/>
  </cellXfs>
  <cellStyles count="11">
    <cellStyle name="Millares" xfId="10" builtinId="3"/>
    <cellStyle name="Millares 2 2" xfId="5" xr:uid="{00000000-0005-0000-0000-000000000000}"/>
    <cellStyle name="Millares 3" xfId="6" xr:uid="{00000000-0005-0000-0000-000001000000}"/>
    <cellStyle name="Moneda 2" xfId="3" xr:uid="{00000000-0005-0000-0000-000002000000}"/>
    <cellStyle name="Normal" xfId="0" builtinId="0"/>
    <cellStyle name="Normal 11" xfId="7" xr:uid="{00000000-0005-0000-0000-000004000000}"/>
    <cellStyle name="Normal 15" xfId="8" xr:uid="{00000000-0005-0000-0000-000005000000}"/>
    <cellStyle name="Normal 2_ALDAMA 03 MAR 2009 MODIF" xfId="9" xr:uid="{00000000-0005-0000-0000-000006000000}"/>
    <cellStyle name="Normal 2_ALDAMA 03 MAR 2009 MODIF_PIGOO CONCENTRADOPROG_INDIC_GESTION ORG  OP rvh" xfId="2" xr:uid="{00000000-0005-0000-0000-000007000000}"/>
    <cellStyle name="Normal 3" xfId="1" xr:uid="{00000000-0005-0000-0000-000008000000}"/>
    <cellStyle name="Porcentaje 2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228600</xdr:colOff>
      <xdr:row>37</xdr:row>
      <xdr:rowOff>0</xdr:rowOff>
    </xdr:from>
    <xdr:to>
      <xdr:col>49</xdr:col>
      <xdr:colOff>167640</xdr:colOff>
      <xdr:row>44</xdr:row>
      <xdr:rowOff>7620</xdr:rowOff>
    </xdr:to>
    <xdr:pic>
      <xdr:nvPicPr>
        <xdr:cNvPr id="5" name="Imagen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22320" y="6720840"/>
          <a:ext cx="3863340" cy="131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765736</xdr:colOff>
      <xdr:row>0</xdr:row>
      <xdr:rowOff>186763</xdr:rowOff>
    </xdr:from>
    <xdr:to>
      <xdr:col>16</xdr:col>
      <xdr:colOff>606773</xdr:colOff>
      <xdr:row>6</xdr:row>
      <xdr:rowOff>168086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12A59E5-E47A-4E29-B8C4-50DA13357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1177" y="186763"/>
          <a:ext cx="4173978" cy="1326029"/>
        </a:xfrm>
        <a:prstGeom prst="rect">
          <a:avLst/>
        </a:prstGeom>
      </xdr:spPr>
    </xdr:pic>
    <xdr:clientData/>
  </xdr:twoCellAnchor>
  <xdr:twoCellAnchor>
    <xdr:from>
      <xdr:col>0</xdr:col>
      <xdr:colOff>433438</xdr:colOff>
      <xdr:row>145</xdr:row>
      <xdr:rowOff>99143</xdr:rowOff>
    </xdr:from>
    <xdr:to>
      <xdr:col>6</xdr:col>
      <xdr:colOff>589935</xdr:colOff>
      <xdr:row>147</xdr:row>
      <xdr:rowOff>36871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77C5332-D12B-4F32-9CE4-1685D2B3EA6C}"/>
            </a:ext>
          </a:extLst>
        </xdr:cNvPr>
        <xdr:cNvSpPr txBox="1"/>
      </xdr:nvSpPr>
      <xdr:spPr>
        <a:xfrm>
          <a:off x="433438" y="27334498"/>
          <a:ext cx="9546303" cy="306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G155"/>
  <sheetViews>
    <sheetView tabSelected="1" view="pageBreakPreview" zoomScale="62" zoomScaleNormal="96" zoomScaleSheetLayoutView="62" workbookViewId="0">
      <pane xSplit="2" ySplit="12" topLeftCell="C125" activePane="bottomRight" state="frozen"/>
      <selection pane="topRight" activeCell="C1" sqref="C1"/>
      <selection pane="bottomLeft" activeCell="A12" sqref="A12"/>
      <selection pane="bottomRight" activeCell="G152" sqref="G152"/>
    </sheetView>
  </sheetViews>
  <sheetFormatPr baseColWidth="10" defaultColWidth="11.44140625" defaultRowHeight="14.4" x14ac:dyDescent="0.3"/>
  <cols>
    <col min="1" max="1" width="59" style="7" customWidth="1"/>
    <col min="2" max="2" width="15.6640625" style="199" customWidth="1"/>
    <col min="3" max="10" width="15.6640625" style="7" customWidth="1"/>
    <col min="11" max="11" width="13.109375" style="7" customWidth="1"/>
    <col min="12" max="13" width="15.6640625" style="7" customWidth="1"/>
    <col min="14" max="14" width="17.6640625" style="24" customWidth="1"/>
    <col min="15" max="15" width="15.6640625" style="7" customWidth="1"/>
    <col min="16" max="16" width="16" style="7" customWidth="1"/>
    <col min="17" max="17" width="10.33203125" style="200" bestFit="1" customWidth="1"/>
    <col min="18" max="18" width="2.44140625" style="1" customWidth="1"/>
    <col min="19" max="19" width="15" style="2" customWidth="1"/>
    <col min="20" max="20" width="12.5546875" style="3" customWidth="1"/>
    <col min="21" max="21" width="12.88671875" style="4" bestFit="1" customWidth="1"/>
    <col min="22" max="22" width="8.6640625" style="4" customWidth="1"/>
    <col min="23" max="23" width="8.5546875" style="5" customWidth="1"/>
    <col min="24" max="24" width="8.44140625" style="5" customWidth="1"/>
    <col min="25" max="25" width="9.6640625" style="5" customWidth="1"/>
    <col min="26" max="26" width="9.33203125" style="5" customWidth="1"/>
    <col min="27" max="27" width="10.5546875" style="5" customWidth="1"/>
    <col min="28" max="28" width="12.109375" style="5" customWidth="1"/>
    <col min="29" max="29" width="11.5546875" style="5" customWidth="1"/>
    <col min="30" max="30" width="12" style="5" bestFit="1" customWidth="1"/>
    <col min="31" max="32" width="11.44140625" style="5"/>
    <col min="33" max="33" width="11.44140625" style="6"/>
    <col min="34" max="256" width="11.44140625" style="7"/>
    <col min="257" max="257" width="59" style="7" customWidth="1"/>
    <col min="258" max="269" width="15.6640625" style="7" customWidth="1"/>
    <col min="270" max="270" width="17.6640625" style="7" customWidth="1"/>
    <col min="271" max="271" width="15.6640625" style="7" customWidth="1"/>
    <col min="272" max="272" width="13.6640625" style="7" bestFit="1" customWidth="1"/>
    <col min="273" max="273" width="10.33203125" style="7" bestFit="1" customWidth="1"/>
    <col min="274" max="274" width="2.44140625" style="7" customWidth="1"/>
    <col min="275" max="275" width="15" style="7" customWidth="1"/>
    <col min="276" max="276" width="12.5546875" style="7" customWidth="1"/>
    <col min="277" max="277" width="10" style="7" bestFit="1" customWidth="1"/>
    <col min="278" max="278" width="8.6640625" style="7" customWidth="1"/>
    <col min="279" max="279" width="8.5546875" style="7" customWidth="1"/>
    <col min="280" max="280" width="8.44140625" style="7" customWidth="1"/>
    <col min="281" max="281" width="9.6640625" style="7" customWidth="1"/>
    <col min="282" max="282" width="9.33203125" style="7" customWidth="1"/>
    <col min="283" max="283" width="10.5546875" style="7" customWidth="1"/>
    <col min="284" max="284" width="12.109375" style="7" customWidth="1"/>
    <col min="285" max="285" width="11.5546875" style="7" customWidth="1"/>
    <col min="286" max="286" width="12" style="7" bestFit="1" customWidth="1"/>
    <col min="287" max="512" width="11.44140625" style="7"/>
    <col min="513" max="513" width="59" style="7" customWidth="1"/>
    <col min="514" max="525" width="15.6640625" style="7" customWidth="1"/>
    <col min="526" max="526" width="17.6640625" style="7" customWidth="1"/>
    <col min="527" max="527" width="15.6640625" style="7" customWidth="1"/>
    <col min="528" max="528" width="13.6640625" style="7" bestFit="1" customWidth="1"/>
    <col min="529" max="529" width="10.33203125" style="7" bestFit="1" customWidth="1"/>
    <col min="530" max="530" width="2.44140625" style="7" customWidth="1"/>
    <col min="531" max="531" width="15" style="7" customWidth="1"/>
    <col min="532" max="532" width="12.5546875" style="7" customWidth="1"/>
    <col min="533" max="533" width="10" style="7" bestFit="1" customWidth="1"/>
    <col min="534" max="534" width="8.6640625" style="7" customWidth="1"/>
    <col min="535" max="535" width="8.5546875" style="7" customWidth="1"/>
    <col min="536" max="536" width="8.44140625" style="7" customWidth="1"/>
    <col min="537" max="537" width="9.6640625" style="7" customWidth="1"/>
    <col min="538" max="538" width="9.33203125" style="7" customWidth="1"/>
    <col min="539" max="539" width="10.5546875" style="7" customWidth="1"/>
    <col min="540" max="540" width="12.109375" style="7" customWidth="1"/>
    <col min="541" max="541" width="11.5546875" style="7" customWidth="1"/>
    <col min="542" max="542" width="12" style="7" bestFit="1" customWidth="1"/>
    <col min="543" max="768" width="11.44140625" style="7"/>
    <col min="769" max="769" width="59" style="7" customWidth="1"/>
    <col min="770" max="781" width="15.6640625" style="7" customWidth="1"/>
    <col min="782" max="782" width="17.6640625" style="7" customWidth="1"/>
    <col min="783" max="783" width="15.6640625" style="7" customWidth="1"/>
    <col min="784" max="784" width="13.6640625" style="7" bestFit="1" customWidth="1"/>
    <col min="785" max="785" width="10.33203125" style="7" bestFit="1" customWidth="1"/>
    <col min="786" max="786" width="2.44140625" style="7" customWidth="1"/>
    <col min="787" max="787" width="15" style="7" customWidth="1"/>
    <col min="788" max="788" width="12.5546875" style="7" customWidth="1"/>
    <col min="789" max="789" width="10" style="7" bestFit="1" customWidth="1"/>
    <col min="790" max="790" width="8.6640625" style="7" customWidth="1"/>
    <col min="791" max="791" width="8.5546875" style="7" customWidth="1"/>
    <col min="792" max="792" width="8.44140625" style="7" customWidth="1"/>
    <col min="793" max="793" width="9.6640625" style="7" customWidth="1"/>
    <col min="794" max="794" width="9.33203125" style="7" customWidth="1"/>
    <col min="795" max="795" width="10.5546875" style="7" customWidth="1"/>
    <col min="796" max="796" width="12.109375" style="7" customWidth="1"/>
    <col min="797" max="797" width="11.5546875" style="7" customWidth="1"/>
    <col min="798" max="798" width="12" style="7" bestFit="1" customWidth="1"/>
    <col min="799" max="1024" width="11.44140625" style="7"/>
    <col min="1025" max="1025" width="59" style="7" customWidth="1"/>
    <col min="1026" max="1037" width="15.6640625" style="7" customWidth="1"/>
    <col min="1038" max="1038" width="17.6640625" style="7" customWidth="1"/>
    <col min="1039" max="1039" width="15.6640625" style="7" customWidth="1"/>
    <col min="1040" max="1040" width="13.6640625" style="7" bestFit="1" customWidth="1"/>
    <col min="1041" max="1041" width="10.33203125" style="7" bestFit="1" customWidth="1"/>
    <col min="1042" max="1042" width="2.44140625" style="7" customWidth="1"/>
    <col min="1043" max="1043" width="15" style="7" customWidth="1"/>
    <col min="1044" max="1044" width="12.5546875" style="7" customWidth="1"/>
    <col min="1045" max="1045" width="10" style="7" bestFit="1" customWidth="1"/>
    <col min="1046" max="1046" width="8.6640625" style="7" customWidth="1"/>
    <col min="1047" max="1047" width="8.5546875" style="7" customWidth="1"/>
    <col min="1048" max="1048" width="8.44140625" style="7" customWidth="1"/>
    <col min="1049" max="1049" width="9.6640625" style="7" customWidth="1"/>
    <col min="1050" max="1050" width="9.33203125" style="7" customWidth="1"/>
    <col min="1051" max="1051" width="10.5546875" style="7" customWidth="1"/>
    <col min="1052" max="1052" width="12.109375" style="7" customWidth="1"/>
    <col min="1053" max="1053" width="11.5546875" style="7" customWidth="1"/>
    <col min="1054" max="1054" width="12" style="7" bestFit="1" customWidth="1"/>
    <col min="1055" max="1280" width="11.44140625" style="7"/>
    <col min="1281" max="1281" width="59" style="7" customWidth="1"/>
    <col min="1282" max="1293" width="15.6640625" style="7" customWidth="1"/>
    <col min="1294" max="1294" width="17.6640625" style="7" customWidth="1"/>
    <col min="1295" max="1295" width="15.6640625" style="7" customWidth="1"/>
    <col min="1296" max="1296" width="13.6640625" style="7" bestFit="1" customWidth="1"/>
    <col min="1297" max="1297" width="10.33203125" style="7" bestFit="1" customWidth="1"/>
    <col min="1298" max="1298" width="2.44140625" style="7" customWidth="1"/>
    <col min="1299" max="1299" width="15" style="7" customWidth="1"/>
    <col min="1300" max="1300" width="12.5546875" style="7" customWidth="1"/>
    <col min="1301" max="1301" width="10" style="7" bestFit="1" customWidth="1"/>
    <col min="1302" max="1302" width="8.6640625" style="7" customWidth="1"/>
    <col min="1303" max="1303" width="8.5546875" style="7" customWidth="1"/>
    <col min="1304" max="1304" width="8.44140625" style="7" customWidth="1"/>
    <col min="1305" max="1305" width="9.6640625" style="7" customWidth="1"/>
    <col min="1306" max="1306" width="9.33203125" style="7" customWidth="1"/>
    <col min="1307" max="1307" width="10.5546875" style="7" customWidth="1"/>
    <col min="1308" max="1308" width="12.109375" style="7" customWidth="1"/>
    <col min="1309" max="1309" width="11.5546875" style="7" customWidth="1"/>
    <col min="1310" max="1310" width="12" style="7" bestFit="1" customWidth="1"/>
    <col min="1311" max="1536" width="11.44140625" style="7"/>
    <col min="1537" max="1537" width="59" style="7" customWidth="1"/>
    <col min="1538" max="1549" width="15.6640625" style="7" customWidth="1"/>
    <col min="1550" max="1550" width="17.6640625" style="7" customWidth="1"/>
    <col min="1551" max="1551" width="15.6640625" style="7" customWidth="1"/>
    <col min="1552" max="1552" width="13.6640625" style="7" bestFit="1" customWidth="1"/>
    <col min="1553" max="1553" width="10.33203125" style="7" bestFit="1" customWidth="1"/>
    <col min="1554" max="1554" width="2.44140625" style="7" customWidth="1"/>
    <col min="1555" max="1555" width="15" style="7" customWidth="1"/>
    <col min="1556" max="1556" width="12.5546875" style="7" customWidth="1"/>
    <col min="1557" max="1557" width="10" style="7" bestFit="1" customWidth="1"/>
    <col min="1558" max="1558" width="8.6640625" style="7" customWidth="1"/>
    <col min="1559" max="1559" width="8.5546875" style="7" customWidth="1"/>
    <col min="1560" max="1560" width="8.44140625" style="7" customWidth="1"/>
    <col min="1561" max="1561" width="9.6640625" style="7" customWidth="1"/>
    <col min="1562" max="1562" width="9.33203125" style="7" customWidth="1"/>
    <col min="1563" max="1563" width="10.5546875" style="7" customWidth="1"/>
    <col min="1564" max="1564" width="12.109375" style="7" customWidth="1"/>
    <col min="1565" max="1565" width="11.5546875" style="7" customWidth="1"/>
    <col min="1566" max="1566" width="12" style="7" bestFit="1" customWidth="1"/>
    <col min="1567" max="1792" width="11.44140625" style="7"/>
    <col min="1793" max="1793" width="59" style="7" customWidth="1"/>
    <col min="1794" max="1805" width="15.6640625" style="7" customWidth="1"/>
    <col min="1806" max="1806" width="17.6640625" style="7" customWidth="1"/>
    <col min="1807" max="1807" width="15.6640625" style="7" customWidth="1"/>
    <col min="1808" max="1808" width="13.6640625" style="7" bestFit="1" customWidth="1"/>
    <col min="1809" max="1809" width="10.33203125" style="7" bestFit="1" customWidth="1"/>
    <col min="1810" max="1810" width="2.44140625" style="7" customWidth="1"/>
    <col min="1811" max="1811" width="15" style="7" customWidth="1"/>
    <col min="1812" max="1812" width="12.5546875" style="7" customWidth="1"/>
    <col min="1813" max="1813" width="10" style="7" bestFit="1" customWidth="1"/>
    <col min="1814" max="1814" width="8.6640625" style="7" customWidth="1"/>
    <col min="1815" max="1815" width="8.5546875" style="7" customWidth="1"/>
    <col min="1816" max="1816" width="8.44140625" style="7" customWidth="1"/>
    <col min="1817" max="1817" width="9.6640625" style="7" customWidth="1"/>
    <col min="1818" max="1818" width="9.33203125" style="7" customWidth="1"/>
    <col min="1819" max="1819" width="10.5546875" style="7" customWidth="1"/>
    <col min="1820" max="1820" width="12.109375" style="7" customWidth="1"/>
    <col min="1821" max="1821" width="11.5546875" style="7" customWidth="1"/>
    <col min="1822" max="1822" width="12" style="7" bestFit="1" customWidth="1"/>
    <col min="1823" max="2048" width="11.44140625" style="7"/>
    <col min="2049" max="2049" width="59" style="7" customWidth="1"/>
    <col min="2050" max="2061" width="15.6640625" style="7" customWidth="1"/>
    <col min="2062" max="2062" width="17.6640625" style="7" customWidth="1"/>
    <col min="2063" max="2063" width="15.6640625" style="7" customWidth="1"/>
    <col min="2064" max="2064" width="13.6640625" style="7" bestFit="1" customWidth="1"/>
    <col min="2065" max="2065" width="10.33203125" style="7" bestFit="1" customWidth="1"/>
    <col min="2066" max="2066" width="2.44140625" style="7" customWidth="1"/>
    <col min="2067" max="2067" width="15" style="7" customWidth="1"/>
    <col min="2068" max="2068" width="12.5546875" style="7" customWidth="1"/>
    <col min="2069" max="2069" width="10" style="7" bestFit="1" customWidth="1"/>
    <col min="2070" max="2070" width="8.6640625" style="7" customWidth="1"/>
    <col min="2071" max="2071" width="8.5546875" style="7" customWidth="1"/>
    <col min="2072" max="2072" width="8.44140625" style="7" customWidth="1"/>
    <col min="2073" max="2073" width="9.6640625" style="7" customWidth="1"/>
    <col min="2074" max="2074" width="9.33203125" style="7" customWidth="1"/>
    <col min="2075" max="2075" width="10.5546875" style="7" customWidth="1"/>
    <col min="2076" max="2076" width="12.109375" style="7" customWidth="1"/>
    <col min="2077" max="2077" width="11.5546875" style="7" customWidth="1"/>
    <col min="2078" max="2078" width="12" style="7" bestFit="1" customWidth="1"/>
    <col min="2079" max="2304" width="11.44140625" style="7"/>
    <col min="2305" max="2305" width="59" style="7" customWidth="1"/>
    <col min="2306" max="2317" width="15.6640625" style="7" customWidth="1"/>
    <col min="2318" max="2318" width="17.6640625" style="7" customWidth="1"/>
    <col min="2319" max="2319" width="15.6640625" style="7" customWidth="1"/>
    <col min="2320" max="2320" width="13.6640625" style="7" bestFit="1" customWidth="1"/>
    <col min="2321" max="2321" width="10.33203125" style="7" bestFit="1" customWidth="1"/>
    <col min="2322" max="2322" width="2.44140625" style="7" customWidth="1"/>
    <col min="2323" max="2323" width="15" style="7" customWidth="1"/>
    <col min="2324" max="2324" width="12.5546875" style="7" customWidth="1"/>
    <col min="2325" max="2325" width="10" style="7" bestFit="1" customWidth="1"/>
    <col min="2326" max="2326" width="8.6640625" style="7" customWidth="1"/>
    <col min="2327" max="2327" width="8.5546875" style="7" customWidth="1"/>
    <col min="2328" max="2328" width="8.44140625" style="7" customWidth="1"/>
    <col min="2329" max="2329" width="9.6640625" style="7" customWidth="1"/>
    <col min="2330" max="2330" width="9.33203125" style="7" customWidth="1"/>
    <col min="2331" max="2331" width="10.5546875" style="7" customWidth="1"/>
    <col min="2332" max="2332" width="12.109375" style="7" customWidth="1"/>
    <col min="2333" max="2333" width="11.5546875" style="7" customWidth="1"/>
    <col min="2334" max="2334" width="12" style="7" bestFit="1" customWidth="1"/>
    <col min="2335" max="2560" width="11.44140625" style="7"/>
    <col min="2561" max="2561" width="59" style="7" customWidth="1"/>
    <col min="2562" max="2573" width="15.6640625" style="7" customWidth="1"/>
    <col min="2574" max="2574" width="17.6640625" style="7" customWidth="1"/>
    <col min="2575" max="2575" width="15.6640625" style="7" customWidth="1"/>
    <col min="2576" max="2576" width="13.6640625" style="7" bestFit="1" customWidth="1"/>
    <col min="2577" max="2577" width="10.33203125" style="7" bestFit="1" customWidth="1"/>
    <col min="2578" max="2578" width="2.44140625" style="7" customWidth="1"/>
    <col min="2579" max="2579" width="15" style="7" customWidth="1"/>
    <col min="2580" max="2580" width="12.5546875" style="7" customWidth="1"/>
    <col min="2581" max="2581" width="10" style="7" bestFit="1" customWidth="1"/>
    <col min="2582" max="2582" width="8.6640625" style="7" customWidth="1"/>
    <col min="2583" max="2583" width="8.5546875" style="7" customWidth="1"/>
    <col min="2584" max="2584" width="8.44140625" style="7" customWidth="1"/>
    <col min="2585" max="2585" width="9.6640625" style="7" customWidth="1"/>
    <col min="2586" max="2586" width="9.33203125" style="7" customWidth="1"/>
    <col min="2587" max="2587" width="10.5546875" style="7" customWidth="1"/>
    <col min="2588" max="2588" width="12.109375" style="7" customWidth="1"/>
    <col min="2589" max="2589" width="11.5546875" style="7" customWidth="1"/>
    <col min="2590" max="2590" width="12" style="7" bestFit="1" customWidth="1"/>
    <col min="2591" max="2816" width="11.44140625" style="7"/>
    <col min="2817" max="2817" width="59" style="7" customWidth="1"/>
    <col min="2818" max="2829" width="15.6640625" style="7" customWidth="1"/>
    <col min="2830" max="2830" width="17.6640625" style="7" customWidth="1"/>
    <col min="2831" max="2831" width="15.6640625" style="7" customWidth="1"/>
    <col min="2832" max="2832" width="13.6640625" style="7" bestFit="1" customWidth="1"/>
    <col min="2833" max="2833" width="10.33203125" style="7" bestFit="1" customWidth="1"/>
    <col min="2834" max="2834" width="2.44140625" style="7" customWidth="1"/>
    <col min="2835" max="2835" width="15" style="7" customWidth="1"/>
    <col min="2836" max="2836" width="12.5546875" style="7" customWidth="1"/>
    <col min="2837" max="2837" width="10" style="7" bestFit="1" customWidth="1"/>
    <col min="2838" max="2838" width="8.6640625" style="7" customWidth="1"/>
    <col min="2839" max="2839" width="8.5546875" style="7" customWidth="1"/>
    <col min="2840" max="2840" width="8.44140625" style="7" customWidth="1"/>
    <col min="2841" max="2841" width="9.6640625" style="7" customWidth="1"/>
    <col min="2842" max="2842" width="9.33203125" style="7" customWidth="1"/>
    <col min="2843" max="2843" width="10.5546875" style="7" customWidth="1"/>
    <col min="2844" max="2844" width="12.109375" style="7" customWidth="1"/>
    <col min="2845" max="2845" width="11.5546875" style="7" customWidth="1"/>
    <col min="2846" max="2846" width="12" style="7" bestFit="1" customWidth="1"/>
    <col min="2847" max="3072" width="11.44140625" style="7"/>
    <col min="3073" max="3073" width="59" style="7" customWidth="1"/>
    <col min="3074" max="3085" width="15.6640625" style="7" customWidth="1"/>
    <col min="3086" max="3086" width="17.6640625" style="7" customWidth="1"/>
    <col min="3087" max="3087" width="15.6640625" style="7" customWidth="1"/>
    <col min="3088" max="3088" width="13.6640625" style="7" bestFit="1" customWidth="1"/>
    <col min="3089" max="3089" width="10.33203125" style="7" bestFit="1" customWidth="1"/>
    <col min="3090" max="3090" width="2.44140625" style="7" customWidth="1"/>
    <col min="3091" max="3091" width="15" style="7" customWidth="1"/>
    <col min="3092" max="3092" width="12.5546875" style="7" customWidth="1"/>
    <col min="3093" max="3093" width="10" style="7" bestFit="1" customWidth="1"/>
    <col min="3094" max="3094" width="8.6640625" style="7" customWidth="1"/>
    <col min="3095" max="3095" width="8.5546875" style="7" customWidth="1"/>
    <col min="3096" max="3096" width="8.44140625" style="7" customWidth="1"/>
    <col min="3097" max="3097" width="9.6640625" style="7" customWidth="1"/>
    <col min="3098" max="3098" width="9.33203125" style="7" customWidth="1"/>
    <col min="3099" max="3099" width="10.5546875" style="7" customWidth="1"/>
    <col min="3100" max="3100" width="12.109375" style="7" customWidth="1"/>
    <col min="3101" max="3101" width="11.5546875" style="7" customWidth="1"/>
    <col min="3102" max="3102" width="12" style="7" bestFit="1" customWidth="1"/>
    <col min="3103" max="3328" width="11.44140625" style="7"/>
    <col min="3329" max="3329" width="59" style="7" customWidth="1"/>
    <col min="3330" max="3341" width="15.6640625" style="7" customWidth="1"/>
    <col min="3342" max="3342" width="17.6640625" style="7" customWidth="1"/>
    <col min="3343" max="3343" width="15.6640625" style="7" customWidth="1"/>
    <col min="3344" max="3344" width="13.6640625" style="7" bestFit="1" customWidth="1"/>
    <col min="3345" max="3345" width="10.33203125" style="7" bestFit="1" customWidth="1"/>
    <col min="3346" max="3346" width="2.44140625" style="7" customWidth="1"/>
    <col min="3347" max="3347" width="15" style="7" customWidth="1"/>
    <col min="3348" max="3348" width="12.5546875" style="7" customWidth="1"/>
    <col min="3349" max="3349" width="10" style="7" bestFit="1" customWidth="1"/>
    <col min="3350" max="3350" width="8.6640625" style="7" customWidth="1"/>
    <col min="3351" max="3351" width="8.5546875" style="7" customWidth="1"/>
    <col min="3352" max="3352" width="8.44140625" style="7" customWidth="1"/>
    <col min="3353" max="3353" width="9.6640625" style="7" customWidth="1"/>
    <col min="3354" max="3354" width="9.33203125" style="7" customWidth="1"/>
    <col min="3355" max="3355" width="10.5546875" style="7" customWidth="1"/>
    <col min="3356" max="3356" width="12.109375" style="7" customWidth="1"/>
    <col min="3357" max="3357" width="11.5546875" style="7" customWidth="1"/>
    <col min="3358" max="3358" width="12" style="7" bestFit="1" customWidth="1"/>
    <col min="3359" max="3584" width="11.44140625" style="7"/>
    <col min="3585" max="3585" width="59" style="7" customWidth="1"/>
    <col min="3586" max="3597" width="15.6640625" style="7" customWidth="1"/>
    <col min="3598" max="3598" width="17.6640625" style="7" customWidth="1"/>
    <col min="3599" max="3599" width="15.6640625" style="7" customWidth="1"/>
    <col min="3600" max="3600" width="13.6640625" style="7" bestFit="1" customWidth="1"/>
    <col min="3601" max="3601" width="10.33203125" style="7" bestFit="1" customWidth="1"/>
    <col min="3602" max="3602" width="2.44140625" style="7" customWidth="1"/>
    <col min="3603" max="3603" width="15" style="7" customWidth="1"/>
    <col min="3604" max="3604" width="12.5546875" style="7" customWidth="1"/>
    <col min="3605" max="3605" width="10" style="7" bestFit="1" customWidth="1"/>
    <col min="3606" max="3606" width="8.6640625" style="7" customWidth="1"/>
    <col min="3607" max="3607" width="8.5546875" style="7" customWidth="1"/>
    <col min="3608" max="3608" width="8.44140625" style="7" customWidth="1"/>
    <col min="3609" max="3609" width="9.6640625" style="7" customWidth="1"/>
    <col min="3610" max="3610" width="9.33203125" style="7" customWidth="1"/>
    <col min="3611" max="3611" width="10.5546875" style="7" customWidth="1"/>
    <col min="3612" max="3612" width="12.109375" style="7" customWidth="1"/>
    <col min="3613" max="3613" width="11.5546875" style="7" customWidth="1"/>
    <col min="3614" max="3614" width="12" style="7" bestFit="1" customWidth="1"/>
    <col min="3615" max="3840" width="11.44140625" style="7"/>
    <col min="3841" max="3841" width="59" style="7" customWidth="1"/>
    <col min="3842" max="3853" width="15.6640625" style="7" customWidth="1"/>
    <col min="3854" max="3854" width="17.6640625" style="7" customWidth="1"/>
    <col min="3855" max="3855" width="15.6640625" style="7" customWidth="1"/>
    <col min="3856" max="3856" width="13.6640625" style="7" bestFit="1" customWidth="1"/>
    <col min="3857" max="3857" width="10.33203125" style="7" bestFit="1" customWidth="1"/>
    <col min="3858" max="3858" width="2.44140625" style="7" customWidth="1"/>
    <col min="3859" max="3859" width="15" style="7" customWidth="1"/>
    <col min="3860" max="3860" width="12.5546875" style="7" customWidth="1"/>
    <col min="3861" max="3861" width="10" style="7" bestFit="1" customWidth="1"/>
    <col min="3862" max="3862" width="8.6640625" style="7" customWidth="1"/>
    <col min="3863" max="3863" width="8.5546875" style="7" customWidth="1"/>
    <col min="3864" max="3864" width="8.44140625" style="7" customWidth="1"/>
    <col min="3865" max="3865" width="9.6640625" style="7" customWidth="1"/>
    <col min="3866" max="3866" width="9.33203125" style="7" customWidth="1"/>
    <col min="3867" max="3867" width="10.5546875" style="7" customWidth="1"/>
    <col min="3868" max="3868" width="12.109375" style="7" customWidth="1"/>
    <col min="3869" max="3869" width="11.5546875" style="7" customWidth="1"/>
    <col min="3870" max="3870" width="12" style="7" bestFit="1" customWidth="1"/>
    <col min="3871" max="4096" width="11.44140625" style="7"/>
    <col min="4097" max="4097" width="59" style="7" customWidth="1"/>
    <col min="4098" max="4109" width="15.6640625" style="7" customWidth="1"/>
    <col min="4110" max="4110" width="17.6640625" style="7" customWidth="1"/>
    <col min="4111" max="4111" width="15.6640625" style="7" customWidth="1"/>
    <col min="4112" max="4112" width="13.6640625" style="7" bestFit="1" customWidth="1"/>
    <col min="4113" max="4113" width="10.33203125" style="7" bestFit="1" customWidth="1"/>
    <col min="4114" max="4114" width="2.44140625" style="7" customWidth="1"/>
    <col min="4115" max="4115" width="15" style="7" customWidth="1"/>
    <col min="4116" max="4116" width="12.5546875" style="7" customWidth="1"/>
    <col min="4117" max="4117" width="10" style="7" bestFit="1" customWidth="1"/>
    <col min="4118" max="4118" width="8.6640625" style="7" customWidth="1"/>
    <col min="4119" max="4119" width="8.5546875" style="7" customWidth="1"/>
    <col min="4120" max="4120" width="8.44140625" style="7" customWidth="1"/>
    <col min="4121" max="4121" width="9.6640625" style="7" customWidth="1"/>
    <col min="4122" max="4122" width="9.33203125" style="7" customWidth="1"/>
    <col min="4123" max="4123" width="10.5546875" style="7" customWidth="1"/>
    <col min="4124" max="4124" width="12.109375" style="7" customWidth="1"/>
    <col min="4125" max="4125" width="11.5546875" style="7" customWidth="1"/>
    <col min="4126" max="4126" width="12" style="7" bestFit="1" customWidth="1"/>
    <col min="4127" max="4352" width="11.44140625" style="7"/>
    <col min="4353" max="4353" width="59" style="7" customWidth="1"/>
    <col min="4354" max="4365" width="15.6640625" style="7" customWidth="1"/>
    <col min="4366" max="4366" width="17.6640625" style="7" customWidth="1"/>
    <col min="4367" max="4367" width="15.6640625" style="7" customWidth="1"/>
    <col min="4368" max="4368" width="13.6640625" style="7" bestFit="1" customWidth="1"/>
    <col min="4369" max="4369" width="10.33203125" style="7" bestFit="1" customWidth="1"/>
    <col min="4370" max="4370" width="2.44140625" style="7" customWidth="1"/>
    <col min="4371" max="4371" width="15" style="7" customWidth="1"/>
    <col min="4372" max="4372" width="12.5546875" style="7" customWidth="1"/>
    <col min="4373" max="4373" width="10" style="7" bestFit="1" customWidth="1"/>
    <col min="4374" max="4374" width="8.6640625" style="7" customWidth="1"/>
    <col min="4375" max="4375" width="8.5546875" style="7" customWidth="1"/>
    <col min="4376" max="4376" width="8.44140625" style="7" customWidth="1"/>
    <col min="4377" max="4377" width="9.6640625" style="7" customWidth="1"/>
    <col min="4378" max="4378" width="9.33203125" style="7" customWidth="1"/>
    <col min="4379" max="4379" width="10.5546875" style="7" customWidth="1"/>
    <col min="4380" max="4380" width="12.109375" style="7" customWidth="1"/>
    <col min="4381" max="4381" width="11.5546875" style="7" customWidth="1"/>
    <col min="4382" max="4382" width="12" style="7" bestFit="1" customWidth="1"/>
    <col min="4383" max="4608" width="11.44140625" style="7"/>
    <col min="4609" max="4609" width="59" style="7" customWidth="1"/>
    <col min="4610" max="4621" width="15.6640625" style="7" customWidth="1"/>
    <col min="4622" max="4622" width="17.6640625" style="7" customWidth="1"/>
    <col min="4623" max="4623" width="15.6640625" style="7" customWidth="1"/>
    <col min="4624" max="4624" width="13.6640625" style="7" bestFit="1" customWidth="1"/>
    <col min="4625" max="4625" width="10.33203125" style="7" bestFit="1" customWidth="1"/>
    <col min="4626" max="4626" width="2.44140625" style="7" customWidth="1"/>
    <col min="4627" max="4627" width="15" style="7" customWidth="1"/>
    <col min="4628" max="4628" width="12.5546875" style="7" customWidth="1"/>
    <col min="4629" max="4629" width="10" style="7" bestFit="1" customWidth="1"/>
    <col min="4630" max="4630" width="8.6640625" style="7" customWidth="1"/>
    <col min="4631" max="4631" width="8.5546875" style="7" customWidth="1"/>
    <col min="4632" max="4632" width="8.44140625" style="7" customWidth="1"/>
    <col min="4633" max="4633" width="9.6640625" style="7" customWidth="1"/>
    <col min="4634" max="4634" width="9.33203125" style="7" customWidth="1"/>
    <col min="4635" max="4635" width="10.5546875" style="7" customWidth="1"/>
    <col min="4636" max="4636" width="12.109375" style="7" customWidth="1"/>
    <col min="4637" max="4637" width="11.5546875" style="7" customWidth="1"/>
    <col min="4638" max="4638" width="12" style="7" bestFit="1" customWidth="1"/>
    <col min="4639" max="4864" width="11.44140625" style="7"/>
    <col min="4865" max="4865" width="59" style="7" customWidth="1"/>
    <col min="4866" max="4877" width="15.6640625" style="7" customWidth="1"/>
    <col min="4878" max="4878" width="17.6640625" style="7" customWidth="1"/>
    <col min="4879" max="4879" width="15.6640625" style="7" customWidth="1"/>
    <col min="4880" max="4880" width="13.6640625" style="7" bestFit="1" customWidth="1"/>
    <col min="4881" max="4881" width="10.33203125" style="7" bestFit="1" customWidth="1"/>
    <col min="4882" max="4882" width="2.44140625" style="7" customWidth="1"/>
    <col min="4883" max="4883" width="15" style="7" customWidth="1"/>
    <col min="4884" max="4884" width="12.5546875" style="7" customWidth="1"/>
    <col min="4885" max="4885" width="10" style="7" bestFit="1" customWidth="1"/>
    <col min="4886" max="4886" width="8.6640625" style="7" customWidth="1"/>
    <col min="4887" max="4887" width="8.5546875" style="7" customWidth="1"/>
    <col min="4888" max="4888" width="8.44140625" style="7" customWidth="1"/>
    <col min="4889" max="4889" width="9.6640625" style="7" customWidth="1"/>
    <col min="4890" max="4890" width="9.33203125" style="7" customWidth="1"/>
    <col min="4891" max="4891" width="10.5546875" style="7" customWidth="1"/>
    <col min="4892" max="4892" width="12.109375" style="7" customWidth="1"/>
    <col min="4893" max="4893" width="11.5546875" style="7" customWidth="1"/>
    <col min="4894" max="4894" width="12" style="7" bestFit="1" customWidth="1"/>
    <col min="4895" max="5120" width="11.44140625" style="7"/>
    <col min="5121" max="5121" width="59" style="7" customWidth="1"/>
    <col min="5122" max="5133" width="15.6640625" style="7" customWidth="1"/>
    <col min="5134" max="5134" width="17.6640625" style="7" customWidth="1"/>
    <col min="5135" max="5135" width="15.6640625" style="7" customWidth="1"/>
    <col min="5136" max="5136" width="13.6640625" style="7" bestFit="1" customWidth="1"/>
    <col min="5137" max="5137" width="10.33203125" style="7" bestFit="1" customWidth="1"/>
    <col min="5138" max="5138" width="2.44140625" style="7" customWidth="1"/>
    <col min="5139" max="5139" width="15" style="7" customWidth="1"/>
    <col min="5140" max="5140" width="12.5546875" style="7" customWidth="1"/>
    <col min="5141" max="5141" width="10" style="7" bestFit="1" customWidth="1"/>
    <col min="5142" max="5142" width="8.6640625" style="7" customWidth="1"/>
    <col min="5143" max="5143" width="8.5546875" style="7" customWidth="1"/>
    <col min="5144" max="5144" width="8.44140625" style="7" customWidth="1"/>
    <col min="5145" max="5145" width="9.6640625" style="7" customWidth="1"/>
    <col min="5146" max="5146" width="9.33203125" style="7" customWidth="1"/>
    <col min="5147" max="5147" width="10.5546875" style="7" customWidth="1"/>
    <col min="5148" max="5148" width="12.109375" style="7" customWidth="1"/>
    <col min="5149" max="5149" width="11.5546875" style="7" customWidth="1"/>
    <col min="5150" max="5150" width="12" style="7" bestFit="1" customWidth="1"/>
    <col min="5151" max="5376" width="11.44140625" style="7"/>
    <col min="5377" max="5377" width="59" style="7" customWidth="1"/>
    <col min="5378" max="5389" width="15.6640625" style="7" customWidth="1"/>
    <col min="5390" max="5390" width="17.6640625" style="7" customWidth="1"/>
    <col min="5391" max="5391" width="15.6640625" style="7" customWidth="1"/>
    <col min="5392" max="5392" width="13.6640625" style="7" bestFit="1" customWidth="1"/>
    <col min="5393" max="5393" width="10.33203125" style="7" bestFit="1" customWidth="1"/>
    <col min="5394" max="5394" width="2.44140625" style="7" customWidth="1"/>
    <col min="5395" max="5395" width="15" style="7" customWidth="1"/>
    <col min="5396" max="5396" width="12.5546875" style="7" customWidth="1"/>
    <col min="5397" max="5397" width="10" style="7" bestFit="1" customWidth="1"/>
    <col min="5398" max="5398" width="8.6640625" style="7" customWidth="1"/>
    <col min="5399" max="5399" width="8.5546875" style="7" customWidth="1"/>
    <col min="5400" max="5400" width="8.44140625" style="7" customWidth="1"/>
    <col min="5401" max="5401" width="9.6640625" style="7" customWidth="1"/>
    <col min="5402" max="5402" width="9.33203125" style="7" customWidth="1"/>
    <col min="5403" max="5403" width="10.5546875" style="7" customWidth="1"/>
    <col min="5404" max="5404" width="12.109375" style="7" customWidth="1"/>
    <col min="5405" max="5405" width="11.5546875" style="7" customWidth="1"/>
    <col min="5406" max="5406" width="12" style="7" bestFit="1" customWidth="1"/>
    <col min="5407" max="5632" width="11.44140625" style="7"/>
    <col min="5633" max="5633" width="59" style="7" customWidth="1"/>
    <col min="5634" max="5645" width="15.6640625" style="7" customWidth="1"/>
    <col min="5646" max="5646" width="17.6640625" style="7" customWidth="1"/>
    <col min="5647" max="5647" width="15.6640625" style="7" customWidth="1"/>
    <col min="5648" max="5648" width="13.6640625" style="7" bestFit="1" customWidth="1"/>
    <col min="5649" max="5649" width="10.33203125" style="7" bestFit="1" customWidth="1"/>
    <col min="5650" max="5650" width="2.44140625" style="7" customWidth="1"/>
    <col min="5651" max="5651" width="15" style="7" customWidth="1"/>
    <col min="5652" max="5652" width="12.5546875" style="7" customWidth="1"/>
    <col min="5653" max="5653" width="10" style="7" bestFit="1" customWidth="1"/>
    <col min="5654" max="5654" width="8.6640625" style="7" customWidth="1"/>
    <col min="5655" max="5655" width="8.5546875" style="7" customWidth="1"/>
    <col min="5656" max="5656" width="8.44140625" style="7" customWidth="1"/>
    <col min="5657" max="5657" width="9.6640625" style="7" customWidth="1"/>
    <col min="5658" max="5658" width="9.33203125" style="7" customWidth="1"/>
    <col min="5659" max="5659" width="10.5546875" style="7" customWidth="1"/>
    <col min="5660" max="5660" width="12.109375" style="7" customWidth="1"/>
    <col min="5661" max="5661" width="11.5546875" style="7" customWidth="1"/>
    <col min="5662" max="5662" width="12" style="7" bestFit="1" customWidth="1"/>
    <col min="5663" max="5888" width="11.44140625" style="7"/>
    <col min="5889" max="5889" width="59" style="7" customWidth="1"/>
    <col min="5890" max="5901" width="15.6640625" style="7" customWidth="1"/>
    <col min="5902" max="5902" width="17.6640625" style="7" customWidth="1"/>
    <col min="5903" max="5903" width="15.6640625" style="7" customWidth="1"/>
    <col min="5904" max="5904" width="13.6640625" style="7" bestFit="1" customWidth="1"/>
    <col min="5905" max="5905" width="10.33203125" style="7" bestFit="1" customWidth="1"/>
    <col min="5906" max="5906" width="2.44140625" style="7" customWidth="1"/>
    <col min="5907" max="5907" width="15" style="7" customWidth="1"/>
    <col min="5908" max="5908" width="12.5546875" style="7" customWidth="1"/>
    <col min="5909" max="5909" width="10" style="7" bestFit="1" customWidth="1"/>
    <col min="5910" max="5910" width="8.6640625" style="7" customWidth="1"/>
    <col min="5911" max="5911" width="8.5546875" style="7" customWidth="1"/>
    <col min="5912" max="5912" width="8.44140625" style="7" customWidth="1"/>
    <col min="5913" max="5913" width="9.6640625" style="7" customWidth="1"/>
    <col min="5914" max="5914" width="9.33203125" style="7" customWidth="1"/>
    <col min="5915" max="5915" width="10.5546875" style="7" customWidth="1"/>
    <col min="5916" max="5916" width="12.109375" style="7" customWidth="1"/>
    <col min="5917" max="5917" width="11.5546875" style="7" customWidth="1"/>
    <col min="5918" max="5918" width="12" style="7" bestFit="1" customWidth="1"/>
    <col min="5919" max="6144" width="11.44140625" style="7"/>
    <col min="6145" max="6145" width="59" style="7" customWidth="1"/>
    <col min="6146" max="6157" width="15.6640625" style="7" customWidth="1"/>
    <col min="6158" max="6158" width="17.6640625" style="7" customWidth="1"/>
    <col min="6159" max="6159" width="15.6640625" style="7" customWidth="1"/>
    <col min="6160" max="6160" width="13.6640625" style="7" bestFit="1" customWidth="1"/>
    <col min="6161" max="6161" width="10.33203125" style="7" bestFit="1" customWidth="1"/>
    <col min="6162" max="6162" width="2.44140625" style="7" customWidth="1"/>
    <col min="6163" max="6163" width="15" style="7" customWidth="1"/>
    <col min="6164" max="6164" width="12.5546875" style="7" customWidth="1"/>
    <col min="6165" max="6165" width="10" style="7" bestFit="1" customWidth="1"/>
    <col min="6166" max="6166" width="8.6640625" style="7" customWidth="1"/>
    <col min="6167" max="6167" width="8.5546875" style="7" customWidth="1"/>
    <col min="6168" max="6168" width="8.44140625" style="7" customWidth="1"/>
    <col min="6169" max="6169" width="9.6640625" style="7" customWidth="1"/>
    <col min="6170" max="6170" width="9.33203125" style="7" customWidth="1"/>
    <col min="6171" max="6171" width="10.5546875" style="7" customWidth="1"/>
    <col min="6172" max="6172" width="12.109375" style="7" customWidth="1"/>
    <col min="6173" max="6173" width="11.5546875" style="7" customWidth="1"/>
    <col min="6174" max="6174" width="12" style="7" bestFit="1" customWidth="1"/>
    <col min="6175" max="6400" width="11.44140625" style="7"/>
    <col min="6401" max="6401" width="59" style="7" customWidth="1"/>
    <col min="6402" max="6413" width="15.6640625" style="7" customWidth="1"/>
    <col min="6414" max="6414" width="17.6640625" style="7" customWidth="1"/>
    <col min="6415" max="6415" width="15.6640625" style="7" customWidth="1"/>
    <col min="6416" max="6416" width="13.6640625" style="7" bestFit="1" customWidth="1"/>
    <col min="6417" max="6417" width="10.33203125" style="7" bestFit="1" customWidth="1"/>
    <col min="6418" max="6418" width="2.44140625" style="7" customWidth="1"/>
    <col min="6419" max="6419" width="15" style="7" customWidth="1"/>
    <col min="6420" max="6420" width="12.5546875" style="7" customWidth="1"/>
    <col min="6421" max="6421" width="10" style="7" bestFit="1" customWidth="1"/>
    <col min="6422" max="6422" width="8.6640625" style="7" customWidth="1"/>
    <col min="6423" max="6423" width="8.5546875" style="7" customWidth="1"/>
    <col min="6424" max="6424" width="8.44140625" style="7" customWidth="1"/>
    <col min="6425" max="6425" width="9.6640625" style="7" customWidth="1"/>
    <col min="6426" max="6426" width="9.33203125" style="7" customWidth="1"/>
    <col min="6427" max="6427" width="10.5546875" style="7" customWidth="1"/>
    <col min="6428" max="6428" width="12.109375" style="7" customWidth="1"/>
    <col min="6429" max="6429" width="11.5546875" style="7" customWidth="1"/>
    <col min="6430" max="6430" width="12" style="7" bestFit="1" customWidth="1"/>
    <col min="6431" max="6656" width="11.44140625" style="7"/>
    <col min="6657" max="6657" width="59" style="7" customWidth="1"/>
    <col min="6658" max="6669" width="15.6640625" style="7" customWidth="1"/>
    <col min="6670" max="6670" width="17.6640625" style="7" customWidth="1"/>
    <col min="6671" max="6671" width="15.6640625" style="7" customWidth="1"/>
    <col min="6672" max="6672" width="13.6640625" style="7" bestFit="1" customWidth="1"/>
    <col min="6673" max="6673" width="10.33203125" style="7" bestFit="1" customWidth="1"/>
    <col min="6674" max="6674" width="2.44140625" style="7" customWidth="1"/>
    <col min="6675" max="6675" width="15" style="7" customWidth="1"/>
    <col min="6676" max="6676" width="12.5546875" style="7" customWidth="1"/>
    <col min="6677" max="6677" width="10" style="7" bestFit="1" customWidth="1"/>
    <col min="6678" max="6678" width="8.6640625" style="7" customWidth="1"/>
    <col min="6679" max="6679" width="8.5546875" style="7" customWidth="1"/>
    <col min="6680" max="6680" width="8.44140625" style="7" customWidth="1"/>
    <col min="6681" max="6681" width="9.6640625" style="7" customWidth="1"/>
    <col min="6682" max="6682" width="9.33203125" style="7" customWidth="1"/>
    <col min="6683" max="6683" width="10.5546875" style="7" customWidth="1"/>
    <col min="6684" max="6684" width="12.109375" style="7" customWidth="1"/>
    <col min="6685" max="6685" width="11.5546875" style="7" customWidth="1"/>
    <col min="6686" max="6686" width="12" style="7" bestFit="1" customWidth="1"/>
    <col min="6687" max="6912" width="11.44140625" style="7"/>
    <col min="6913" max="6913" width="59" style="7" customWidth="1"/>
    <col min="6914" max="6925" width="15.6640625" style="7" customWidth="1"/>
    <col min="6926" max="6926" width="17.6640625" style="7" customWidth="1"/>
    <col min="6927" max="6927" width="15.6640625" style="7" customWidth="1"/>
    <col min="6928" max="6928" width="13.6640625" style="7" bestFit="1" customWidth="1"/>
    <col min="6929" max="6929" width="10.33203125" style="7" bestFit="1" customWidth="1"/>
    <col min="6930" max="6930" width="2.44140625" style="7" customWidth="1"/>
    <col min="6931" max="6931" width="15" style="7" customWidth="1"/>
    <col min="6932" max="6932" width="12.5546875" style="7" customWidth="1"/>
    <col min="6933" max="6933" width="10" style="7" bestFit="1" customWidth="1"/>
    <col min="6934" max="6934" width="8.6640625" style="7" customWidth="1"/>
    <col min="6935" max="6935" width="8.5546875" style="7" customWidth="1"/>
    <col min="6936" max="6936" width="8.44140625" style="7" customWidth="1"/>
    <col min="6937" max="6937" width="9.6640625" style="7" customWidth="1"/>
    <col min="6938" max="6938" width="9.33203125" style="7" customWidth="1"/>
    <col min="6939" max="6939" width="10.5546875" style="7" customWidth="1"/>
    <col min="6940" max="6940" width="12.109375" style="7" customWidth="1"/>
    <col min="6941" max="6941" width="11.5546875" style="7" customWidth="1"/>
    <col min="6942" max="6942" width="12" style="7" bestFit="1" customWidth="1"/>
    <col min="6943" max="7168" width="11.44140625" style="7"/>
    <col min="7169" max="7169" width="59" style="7" customWidth="1"/>
    <col min="7170" max="7181" width="15.6640625" style="7" customWidth="1"/>
    <col min="7182" max="7182" width="17.6640625" style="7" customWidth="1"/>
    <col min="7183" max="7183" width="15.6640625" style="7" customWidth="1"/>
    <col min="7184" max="7184" width="13.6640625" style="7" bestFit="1" customWidth="1"/>
    <col min="7185" max="7185" width="10.33203125" style="7" bestFit="1" customWidth="1"/>
    <col min="7186" max="7186" width="2.44140625" style="7" customWidth="1"/>
    <col min="7187" max="7187" width="15" style="7" customWidth="1"/>
    <col min="7188" max="7188" width="12.5546875" style="7" customWidth="1"/>
    <col min="7189" max="7189" width="10" style="7" bestFit="1" customWidth="1"/>
    <col min="7190" max="7190" width="8.6640625" style="7" customWidth="1"/>
    <col min="7191" max="7191" width="8.5546875" style="7" customWidth="1"/>
    <col min="7192" max="7192" width="8.44140625" style="7" customWidth="1"/>
    <col min="7193" max="7193" width="9.6640625" style="7" customWidth="1"/>
    <col min="7194" max="7194" width="9.33203125" style="7" customWidth="1"/>
    <col min="7195" max="7195" width="10.5546875" style="7" customWidth="1"/>
    <col min="7196" max="7196" width="12.109375" style="7" customWidth="1"/>
    <col min="7197" max="7197" width="11.5546875" style="7" customWidth="1"/>
    <col min="7198" max="7198" width="12" style="7" bestFit="1" customWidth="1"/>
    <col min="7199" max="7424" width="11.44140625" style="7"/>
    <col min="7425" max="7425" width="59" style="7" customWidth="1"/>
    <col min="7426" max="7437" width="15.6640625" style="7" customWidth="1"/>
    <col min="7438" max="7438" width="17.6640625" style="7" customWidth="1"/>
    <col min="7439" max="7439" width="15.6640625" style="7" customWidth="1"/>
    <col min="7440" max="7440" width="13.6640625" style="7" bestFit="1" customWidth="1"/>
    <col min="7441" max="7441" width="10.33203125" style="7" bestFit="1" customWidth="1"/>
    <col min="7442" max="7442" width="2.44140625" style="7" customWidth="1"/>
    <col min="7443" max="7443" width="15" style="7" customWidth="1"/>
    <col min="7444" max="7444" width="12.5546875" style="7" customWidth="1"/>
    <col min="7445" max="7445" width="10" style="7" bestFit="1" customWidth="1"/>
    <col min="7446" max="7446" width="8.6640625" style="7" customWidth="1"/>
    <col min="7447" max="7447" width="8.5546875" style="7" customWidth="1"/>
    <col min="7448" max="7448" width="8.44140625" style="7" customWidth="1"/>
    <col min="7449" max="7449" width="9.6640625" style="7" customWidth="1"/>
    <col min="7450" max="7450" width="9.33203125" style="7" customWidth="1"/>
    <col min="7451" max="7451" width="10.5546875" style="7" customWidth="1"/>
    <col min="7452" max="7452" width="12.109375" style="7" customWidth="1"/>
    <col min="7453" max="7453" width="11.5546875" style="7" customWidth="1"/>
    <col min="7454" max="7454" width="12" style="7" bestFit="1" customWidth="1"/>
    <col min="7455" max="7680" width="11.44140625" style="7"/>
    <col min="7681" max="7681" width="59" style="7" customWidth="1"/>
    <col min="7682" max="7693" width="15.6640625" style="7" customWidth="1"/>
    <col min="7694" max="7694" width="17.6640625" style="7" customWidth="1"/>
    <col min="7695" max="7695" width="15.6640625" style="7" customWidth="1"/>
    <col min="7696" max="7696" width="13.6640625" style="7" bestFit="1" customWidth="1"/>
    <col min="7697" max="7697" width="10.33203125" style="7" bestFit="1" customWidth="1"/>
    <col min="7698" max="7698" width="2.44140625" style="7" customWidth="1"/>
    <col min="7699" max="7699" width="15" style="7" customWidth="1"/>
    <col min="7700" max="7700" width="12.5546875" style="7" customWidth="1"/>
    <col min="7701" max="7701" width="10" style="7" bestFit="1" customWidth="1"/>
    <col min="7702" max="7702" width="8.6640625" style="7" customWidth="1"/>
    <col min="7703" max="7703" width="8.5546875" style="7" customWidth="1"/>
    <col min="7704" max="7704" width="8.44140625" style="7" customWidth="1"/>
    <col min="7705" max="7705" width="9.6640625" style="7" customWidth="1"/>
    <col min="7706" max="7706" width="9.33203125" style="7" customWidth="1"/>
    <col min="7707" max="7707" width="10.5546875" style="7" customWidth="1"/>
    <col min="7708" max="7708" width="12.109375" style="7" customWidth="1"/>
    <col min="7709" max="7709" width="11.5546875" style="7" customWidth="1"/>
    <col min="7710" max="7710" width="12" style="7" bestFit="1" customWidth="1"/>
    <col min="7711" max="7936" width="11.44140625" style="7"/>
    <col min="7937" max="7937" width="59" style="7" customWidth="1"/>
    <col min="7938" max="7949" width="15.6640625" style="7" customWidth="1"/>
    <col min="7950" max="7950" width="17.6640625" style="7" customWidth="1"/>
    <col min="7951" max="7951" width="15.6640625" style="7" customWidth="1"/>
    <col min="7952" max="7952" width="13.6640625" style="7" bestFit="1" customWidth="1"/>
    <col min="7953" max="7953" width="10.33203125" style="7" bestFit="1" customWidth="1"/>
    <col min="7954" max="7954" width="2.44140625" style="7" customWidth="1"/>
    <col min="7955" max="7955" width="15" style="7" customWidth="1"/>
    <col min="7956" max="7956" width="12.5546875" style="7" customWidth="1"/>
    <col min="7957" max="7957" width="10" style="7" bestFit="1" customWidth="1"/>
    <col min="7958" max="7958" width="8.6640625" style="7" customWidth="1"/>
    <col min="7959" max="7959" width="8.5546875" style="7" customWidth="1"/>
    <col min="7960" max="7960" width="8.44140625" style="7" customWidth="1"/>
    <col min="7961" max="7961" width="9.6640625" style="7" customWidth="1"/>
    <col min="7962" max="7962" width="9.33203125" style="7" customWidth="1"/>
    <col min="7963" max="7963" width="10.5546875" style="7" customWidth="1"/>
    <col min="7964" max="7964" width="12.109375" style="7" customWidth="1"/>
    <col min="7965" max="7965" width="11.5546875" style="7" customWidth="1"/>
    <col min="7966" max="7966" width="12" style="7" bestFit="1" customWidth="1"/>
    <col min="7967" max="8192" width="11.44140625" style="7"/>
    <col min="8193" max="8193" width="59" style="7" customWidth="1"/>
    <col min="8194" max="8205" width="15.6640625" style="7" customWidth="1"/>
    <col min="8206" max="8206" width="17.6640625" style="7" customWidth="1"/>
    <col min="8207" max="8207" width="15.6640625" style="7" customWidth="1"/>
    <col min="8208" max="8208" width="13.6640625" style="7" bestFit="1" customWidth="1"/>
    <col min="8209" max="8209" width="10.33203125" style="7" bestFit="1" customWidth="1"/>
    <col min="8210" max="8210" width="2.44140625" style="7" customWidth="1"/>
    <col min="8211" max="8211" width="15" style="7" customWidth="1"/>
    <col min="8212" max="8212" width="12.5546875" style="7" customWidth="1"/>
    <col min="8213" max="8213" width="10" style="7" bestFit="1" customWidth="1"/>
    <col min="8214" max="8214" width="8.6640625" style="7" customWidth="1"/>
    <col min="8215" max="8215" width="8.5546875" style="7" customWidth="1"/>
    <col min="8216" max="8216" width="8.44140625" style="7" customWidth="1"/>
    <col min="8217" max="8217" width="9.6640625" style="7" customWidth="1"/>
    <col min="8218" max="8218" width="9.33203125" style="7" customWidth="1"/>
    <col min="8219" max="8219" width="10.5546875" style="7" customWidth="1"/>
    <col min="8220" max="8220" width="12.109375" style="7" customWidth="1"/>
    <col min="8221" max="8221" width="11.5546875" style="7" customWidth="1"/>
    <col min="8222" max="8222" width="12" style="7" bestFit="1" customWidth="1"/>
    <col min="8223" max="8448" width="11.44140625" style="7"/>
    <col min="8449" max="8449" width="59" style="7" customWidth="1"/>
    <col min="8450" max="8461" width="15.6640625" style="7" customWidth="1"/>
    <col min="8462" max="8462" width="17.6640625" style="7" customWidth="1"/>
    <col min="8463" max="8463" width="15.6640625" style="7" customWidth="1"/>
    <col min="8464" max="8464" width="13.6640625" style="7" bestFit="1" customWidth="1"/>
    <col min="8465" max="8465" width="10.33203125" style="7" bestFit="1" customWidth="1"/>
    <col min="8466" max="8466" width="2.44140625" style="7" customWidth="1"/>
    <col min="8467" max="8467" width="15" style="7" customWidth="1"/>
    <col min="8468" max="8468" width="12.5546875" style="7" customWidth="1"/>
    <col min="8469" max="8469" width="10" style="7" bestFit="1" customWidth="1"/>
    <col min="8470" max="8470" width="8.6640625" style="7" customWidth="1"/>
    <col min="8471" max="8471" width="8.5546875" style="7" customWidth="1"/>
    <col min="8472" max="8472" width="8.44140625" style="7" customWidth="1"/>
    <col min="8473" max="8473" width="9.6640625" style="7" customWidth="1"/>
    <col min="8474" max="8474" width="9.33203125" style="7" customWidth="1"/>
    <col min="8475" max="8475" width="10.5546875" style="7" customWidth="1"/>
    <col min="8476" max="8476" width="12.109375" style="7" customWidth="1"/>
    <col min="8477" max="8477" width="11.5546875" style="7" customWidth="1"/>
    <col min="8478" max="8478" width="12" style="7" bestFit="1" customWidth="1"/>
    <col min="8479" max="8704" width="11.44140625" style="7"/>
    <col min="8705" max="8705" width="59" style="7" customWidth="1"/>
    <col min="8706" max="8717" width="15.6640625" style="7" customWidth="1"/>
    <col min="8718" max="8718" width="17.6640625" style="7" customWidth="1"/>
    <col min="8719" max="8719" width="15.6640625" style="7" customWidth="1"/>
    <col min="8720" max="8720" width="13.6640625" style="7" bestFit="1" customWidth="1"/>
    <col min="8721" max="8721" width="10.33203125" style="7" bestFit="1" customWidth="1"/>
    <col min="8722" max="8722" width="2.44140625" style="7" customWidth="1"/>
    <col min="8723" max="8723" width="15" style="7" customWidth="1"/>
    <col min="8724" max="8724" width="12.5546875" style="7" customWidth="1"/>
    <col min="8725" max="8725" width="10" style="7" bestFit="1" customWidth="1"/>
    <col min="8726" max="8726" width="8.6640625" style="7" customWidth="1"/>
    <col min="8727" max="8727" width="8.5546875" style="7" customWidth="1"/>
    <col min="8728" max="8728" width="8.44140625" style="7" customWidth="1"/>
    <col min="8729" max="8729" width="9.6640625" style="7" customWidth="1"/>
    <col min="8730" max="8730" width="9.33203125" style="7" customWidth="1"/>
    <col min="8731" max="8731" width="10.5546875" style="7" customWidth="1"/>
    <col min="8732" max="8732" width="12.109375" style="7" customWidth="1"/>
    <col min="8733" max="8733" width="11.5546875" style="7" customWidth="1"/>
    <col min="8734" max="8734" width="12" style="7" bestFit="1" customWidth="1"/>
    <col min="8735" max="8960" width="11.44140625" style="7"/>
    <col min="8961" max="8961" width="59" style="7" customWidth="1"/>
    <col min="8962" max="8973" width="15.6640625" style="7" customWidth="1"/>
    <col min="8974" max="8974" width="17.6640625" style="7" customWidth="1"/>
    <col min="8975" max="8975" width="15.6640625" style="7" customWidth="1"/>
    <col min="8976" max="8976" width="13.6640625" style="7" bestFit="1" customWidth="1"/>
    <col min="8977" max="8977" width="10.33203125" style="7" bestFit="1" customWidth="1"/>
    <col min="8978" max="8978" width="2.44140625" style="7" customWidth="1"/>
    <col min="8979" max="8979" width="15" style="7" customWidth="1"/>
    <col min="8980" max="8980" width="12.5546875" style="7" customWidth="1"/>
    <col min="8981" max="8981" width="10" style="7" bestFit="1" customWidth="1"/>
    <col min="8982" max="8982" width="8.6640625" style="7" customWidth="1"/>
    <col min="8983" max="8983" width="8.5546875" style="7" customWidth="1"/>
    <col min="8984" max="8984" width="8.44140625" style="7" customWidth="1"/>
    <col min="8985" max="8985" width="9.6640625" style="7" customWidth="1"/>
    <col min="8986" max="8986" width="9.33203125" style="7" customWidth="1"/>
    <col min="8987" max="8987" width="10.5546875" style="7" customWidth="1"/>
    <col min="8988" max="8988" width="12.109375" style="7" customWidth="1"/>
    <col min="8989" max="8989" width="11.5546875" style="7" customWidth="1"/>
    <col min="8990" max="8990" width="12" style="7" bestFit="1" customWidth="1"/>
    <col min="8991" max="9216" width="11.44140625" style="7"/>
    <col min="9217" max="9217" width="59" style="7" customWidth="1"/>
    <col min="9218" max="9229" width="15.6640625" style="7" customWidth="1"/>
    <col min="9230" max="9230" width="17.6640625" style="7" customWidth="1"/>
    <col min="9231" max="9231" width="15.6640625" style="7" customWidth="1"/>
    <col min="9232" max="9232" width="13.6640625" style="7" bestFit="1" customWidth="1"/>
    <col min="9233" max="9233" width="10.33203125" style="7" bestFit="1" customWidth="1"/>
    <col min="9234" max="9234" width="2.44140625" style="7" customWidth="1"/>
    <col min="9235" max="9235" width="15" style="7" customWidth="1"/>
    <col min="9236" max="9236" width="12.5546875" style="7" customWidth="1"/>
    <col min="9237" max="9237" width="10" style="7" bestFit="1" customWidth="1"/>
    <col min="9238" max="9238" width="8.6640625" style="7" customWidth="1"/>
    <col min="9239" max="9239" width="8.5546875" style="7" customWidth="1"/>
    <col min="9240" max="9240" width="8.44140625" style="7" customWidth="1"/>
    <col min="9241" max="9241" width="9.6640625" style="7" customWidth="1"/>
    <col min="9242" max="9242" width="9.33203125" style="7" customWidth="1"/>
    <col min="9243" max="9243" width="10.5546875" style="7" customWidth="1"/>
    <col min="9244" max="9244" width="12.109375" style="7" customWidth="1"/>
    <col min="9245" max="9245" width="11.5546875" style="7" customWidth="1"/>
    <col min="9246" max="9246" width="12" style="7" bestFit="1" customWidth="1"/>
    <col min="9247" max="9472" width="11.44140625" style="7"/>
    <col min="9473" max="9473" width="59" style="7" customWidth="1"/>
    <col min="9474" max="9485" width="15.6640625" style="7" customWidth="1"/>
    <col min="9486" max="9486" width="17.6640625" style="7" customWidth="1"/>
    <col min="9487" max="9487" width="15.6640625" style="7" customWidth="1"/>
    <col min="9488" max="9488" width="13.6640625" style="7" bestFit="1" customWidth="1"/>
    <col min="9489" max="9489" width="10.33203125" style="7" bestFit="1" customWidth="1"/>
    <col min="9490" max="9490" width="2.44140625" style="7" customWidth="1"/>
    <col min="9491" max="9491" width="15" style="7" customWidth="1"/>
    <col min="9492" max="9492" width="12.5546875" style="7" customWidth="1"/>
    <col min="9493" max="9493" width="10" style="7" bestFit="1" customWidth="1"/>
    <col min="9494" max="9494" width="8.6640625" style="7" customWidth="1"/>
    <col min="9495" max="9495" width="8.5546875" style="7" customWidth="1"/>
    <col min="9496" max="9496" width="8.44140625" style="7" customWidth="1"/>
    <col min="9497" max="9497" width="9.6640625" style="7" customWidth="1"/>
    <col min="9498" max="9498" width="9.33203125" style="7" customWidth="1"/>
    <col min="9499" max="9499" width="10.5546875" style="7" customWidth="1"/>
    <col min="9500" max="9500" width="12.109375" style="7" customWidth="1"/>
    <col min="9501" max="9501" width="11.5546875" style="7" customWidth="1"/>
    <col min="9502" max="9502" width="12" style="7" bestFit="1" customWidth="1"/>
    <col min="9503" max="9728" width="11.44140625" style="7"/>
    <col min="9729" max="9729" width="59" style="7" customWidth="1"/>
    <col min="9730" max="9741" width="15.6640625" style="7" customWidth="1"/>
    <col min="9742" max="9742" width="17.6640625" style="7" customWidth="1"/>
    <col min="9743" max="9743" width="15.6640625" style="7" customWidth="1"/>
    <col min="9744" max="9744" width="13.6640625" style="7" bestFit="1" customWidth="1"/>
    <col min="9745" max="9745" width="10.33203125" style="7" bestFit="1" customWidth="1"/>
    <col min="9746" max="9746" width="2.44140625" style="7" customWidth="1"/>
    <col min="9747" max="9747" width="15" style="7" customWidth="1"/>
    <col min="9748" max="9748" width="12.5546875" style="7" customWidth="1"/>
    <col min="9749" max="9749" width="10" style="7" bestFit="1" customWidth="1"/>
    <col min="9750" max="9750" width="8.6640625" style="7" customWidth="1"/>
    <col min="9751" max="9751" width="8.5546875" style="7" customWidth="1"/>
    <col min="9752" max="9752" width="8.44140625" style="7" customWidth="1"/>
    <col min="9753" max="9753" width="9.6640625" style="7" customWidth="1"/>
    <col min="9754" max="9754" width="9.33203125" style="7" customWidth="1"/>
    <col min="9755" max="9755" width="10.5546875" style="7" customWidth="1"/>
    <col min="9756" max="9756" width="12.109375" style="7" customWidth="1"/>
    <col min="9757" max="9757" width="11.5546875" style="7" customWidth="1"/>
    <col min="9758" max="9758" width="12" style="7" bestFit="1" customWidth="1"/>
    <col min="9759" max="9984" width="11.44140625" style="7"/>
    <col min="9985" max="9985" width="59" style="7" customWidth="1"/>
    <col min="9986" max="9997" width="15.6640625" style="7" customWidth="1"/>
    <col min="9998" max="9998" width="17.6640625" style="7" customWidth="1"/>
    <col min="9999" max="9999" width="15.6640625" style="7" customWidth="1"/>
    <col min="10000" max="10000" width="13.6640625" style="7" bestFit="1" customWidth="1"/>
    <col min="10001" max="10001" width="10.33203125" style="7" bestFit="1" customWidth="1"/>
    <col min="10002" max="10002" width="2.44140625" style="7" customWidth="1"/>
    <col min="10003" max="10003" width="15" style="7" customWidth="1"/>
    <col min="10004" max="10004" width="12.5546875" style="7" customWidth="1"/>
    <col min="10005" max="10005" width="10" style="7" bestFit="1" customWidth="1"/>
    <col min="10006" max="10006" width="8.6640625" style="7" customWidth="1"/>
    <col min="10007" max="10007" width="8.5546875" style="7" customWidth="1"/>
    <col min="10008" max="10008" width="8.44140625" style="7" customWidth="1"/>
    <col min="10009" max="10009" width="9.6640625" style="7" customWidth="1"/>
    <col min="10010" max="10010" width="9.33203125" style="7" customWidth="1"/>
    <col min="10011" max="10011" width="10.5546875" style="7" customWidth="1"/>
    <col min="10012" max="10012" width="12.109375" style="7" customWidth="1"/>
    <col min="10013" max="10013" width="11.5546875" style="7" customWidth="1"/>
    <col min="10014" max="10014" width="12" style="7" bestFit="1" customWidth="1"/>
    <col min="10015" max="10240" width="11.44140625" style="7"/>
    <col min="10241" max="10241" width="59" style="7" customWidth="1"/>
    <col min="10242" max="10253" width="15.6640625" style="7" customWidth="1"/>
    <col min="10254" max="10254" width="17.6640625" style="7" customWidth="1"/>
    <col min="10255" max="10255" width="15.6640625" style="7" customWidth="1"/>
    <col min="10256" max="10256" width="13.6640625" style="7" bestFit="1" customWidth="1"/>
    <col min="10257" max="10257" width="10.33203125" style="7" bestFit="1" customWidth="1"/>
    <col min="10258" max="10258" width="2.44140625" style="7" customWidth="1"/>
    <col min="10259" max="10259" width="15" style="7" customWidth="1"/>
    <col min="10260" max="10260" width="12.5546875" style="7" customWidth="1"/>
    <col min="10261" max="10261" width="10" style="7" bestFit="1" customWidth="1"/>
    <col min="10262" max="10262" width="8.6640625" style="7" customWidth="1"/>
    <col min="10263" max="10263" width="8.5546875" style="7" customWidth="1"/>
    <col min="10264" max="10264" width="8.44140625" style="7" customWidth="1"/>
    <col min="10265" max="10265" width="9.6640625" style="7" customWidth="1"/>
    <col min="10266" max="10266" width="9.33203125" style="7" customWidth="1"/>
    <col min="10267" max="10267" width="10.5546875" style="7" customWidth="1"/>
    <col min="10268" max="10268" width="12.109375" style="7" customWidth="1"/>
    <col min="10269" max="10269" width="11.5546875" style="7" customWidth="1"/>
    <col min="10270" max="10270" width="12" style="7" bestFit="1" customWidth="1"/>
    <col min="10271" max="10496" width="11.44140625" style="7"/>
    <col min="10497" max="10497" width="59" style="7" customWidth="1"/>
    <col min="10498" max="10509" width="15.6640625" style="7" customWidth="1"/>
    <col min="10510" max="10510" width="17.6640625" style="7" customWidth="1"/>
    <col min="10511" max="10511" width="15.6640625" style="7" customWidth="1"/>
    <col min="10512" max="10512" width="13.6640625" style="7" bestFit="1" customWidth="1"/>
    <col min="10513" max="10513" width="10.33203125" style="7" bestFit="1" customWidth="1"/>
    <col min="10514" max="10514" width="2.44140625" style="7" customWidth="1"/>
    <col min="10515" max="10515" width="15" style="7" customWidth="1"/>
    <col min="10516" max="10516" width="12.5546875" style="7" customWidth="1"/>
    <col min="10517" max="10517" width="10" style="7" bestFit="1" customWidth="1"/>
    <col min="10518" max="10518" width="8.6640625" style="7" customWidth="1"/>
    <col min="10519" max="10519" width="8.5546875" style="7" customWidth="1"/>
    <col min="10520" max="10520" width="8.44140625" style="7" customWidth="1"/>
    <col min="10521" max="10521" width="9.6640625" style="7" customWidth="1"/>
    <col min="10522" max="10522" width="9.33203125" style="7" customWidth="1"/>
    <col min="10523" max="10523" width="10.5546875" style="7" customWidth="1"/>
    <col min="10524" max="10524" width="12.109375" style="7" customWidth="1"/>
    <col min="10525" max="10525" width="11.5546875" style="7" customWidth="1"/>
    <col min="10526" max="10526" width="12" style="7" bestFit="1" customWidth="1"/>
    <col min="10527" max="10752" width="11.44140625" style="7"/>
    <col min="10753" max="10753" width="59" style="7" customWidth="1"/>
    <col min="10754" max="10765" width="15.6640625" style="7" customWidth="1"/>
    <col min="10766" max="10766" width="17.6640625" style="7" customWidth="1"/>
    <col min="10767" max="10767" width="15.6640625" style="7" customWidth="1"/>
    <col min="10768" max="10768" width="13.6640625" style="7" bestFit="1" customWidth="1"/>
    <col min="10769" max="10769" width="10.33203125" style="7" bestFit="1" customWidth="1"/>
    <col min="10770" max="10770" width="2.44140625" style="7" customWidth="1"/>
    <col min="10771" max="10771" width="15" style="7" customWidth="1"/>
    <col min="10772" max="10772" width="12.5546875" style="7" customWidth="1"/>
    <col min="10773" max="10773" width="10" style="7" bestFit="1" customWidth="1"/>
    <col min="10774" max="10774" width="8.6640625" style="7" customWidth="1"/>
    <col min="10775" max="10775" width="8.5546875" style="7" customWidth="1"/>
    <col min="10776" max="10776" width="8.44140625" style="7" customWidth="1"/>
    <col min="10777" max="10777" width="9.6640625" style="7" customWidth="1"/>
    <col min="10778" max="10778" width="9.33203125" style="7" customWidth="1"/>
    <col min="10779" max="10779" width="10.5546875" style="7" customWidth="1"/>
    <col min="10780" max="10780" width="12.109375" style="7" customWidth="1"/>
    <col min="10781" max="10781" width="11.5546875" style="7" customWidth="1"/>
    <col min="10782" max="10782" width="12" style="7" bestFit="1" customWidth="1"/>
    <col min="10783" max="11008" width="11.44140625" style="7"/>
    <col min="11009" max="11009" width="59" style="7" customWidth="1"/>
    <col min="11010" max="11021" width="15.6640625" style="7" customWidth="1"/>
    <col min="11022" max="11022" width="17.6640625" style="7" customWidth="1"/>
    <col min="11023" max="11023" width="15.6640625" style="7" customWidth="1"/>
    <col min="11024" max="11024" width="13.6640625" style="7" bestFit="1" customWidth="1"/>
    <col min="11025" max="11025" width="10.33203125" style="7" bestFit="1" customWidth="1"/>
    <col min="11026" max="11026" width="2.44140625" style="7" customWidth="1"/>
    <col min="11027" max="11027" width="15" style="7" customWidth="1"/>
    <col min="11028" max="11028" width="12.5546875" style="7" customWidth="1"/>
    <col min="11029" max="11029" width="10" style="7" bestFit="1" customWidth="1"/>
    <col min="11030" max="11030" width="8.6640625" style="7" customWidth="1"/>
    <col min="11031" max="11031" width="8.5546875" style="7" customWidth="1"/>
    <col min="11032" max="11032" width="8.44140625" style="7" customWidth="1"/>
    <col min="11033" max="11033" width="9.6640625" style="7" customWidth="1"/>
    <col min="11034" max="11034" width="9.33203125" style="7" customWidth="1"/>
    <col min="11035" max="11035" width="10.5546875" style="7" customWidth="1"/>
    <col min="11036" max="11036" width="12.109375" style="7" customWidth="1"/>
    <col min="11037" max="11037" width="11.5546875" style="7" customWidth="1"/>
    <col min="11038" max="11038" width="12" style="7" bestFit="1" customWidth="1"/>
    <col min="11039" max="11264" width="11.44140625" style="7"/>
    <col min="11265" max="11265" width="59" style="7" customWidth="1"/>
    <col min="11266" max="11277" width="15.6640625" style="7" customWidth="1"/>
    <col min="11278" max="11278" width="17.6640625" style="7" customWidth="1"/>
    <col min="11279" max="11279" width="15.6640625" style="7" customWidth="1"/>
    <col min="11280" max="11280" width="13.6640625" style="7" bestFit="1" customWidth="1"/>
    <col min="11281" max="11281" width="10.33203125" style="7" bestFit="1" customWidth="1"/>
    <col min="11282" max="11282" width="2.44140625" style="7" customWidth="1"/>
    <col min="11283" max="11283" width="15" style="7" customWidth="1"/>
    <col min="11284" max="11284" width="12.5546875" style="7" customWidth="1"/>
    <col min="11285" max="11285" width="10" style="7" bestFit="1" customWidth="1"/>
    <col min="11286" max="11286" width="8.6640625" style="7" customWidth="1"/>
    <col min="11287" max="11287" width="8.5546875" style="7" customWidth="1"/>
    <col min="11288" max="11288" width="8.44140625" style="7" customWidth="1"/>
    <col min="11289" max="11289" width="9.6640625" style="7" customWidth="1"/>
    <col min="11290" max="11290" width="9.33203125" style="7" customWidth="1"/>
    <col min="11291" max="11291" width="10.5546875" style="7" customWidth="1"/>
    <col min="11292" max="11292" width="12.109375" style="7" customWidth="1"/>
    <col min="11293" max="11293" width="11.5546875" style="7" customWidth="1"/>
    <col min="11294" max="11294" width="12" style="7" bestFit="1" customWidth="1"/>
    <col min="11295" max="11520" width="11.44140625" style="7"/>
    <col min="11521" max="11521" width="59" style="7" customWidth="1"/>
    <col min="11522" max="11533" width="15.6640625" style="7" customWidth="1"/>
    <col min="11534" max="11534" width="17.6640625" style="7" customWidth="1"/>
    <col min="11535" max="11535" width="15.6640625" style="7" customWidth="1"/>
    <col min="11536" max="11536" width="13.6640625" style="7" bestFit="1" customWidth="1"/>
    <col min="11537" max="11537" width="10.33203125" style="7" bestFit="1" customWidth="1"/>
    <col min="11538" max="11538" width="2.44140625" style="7" customWidth="1"/>
    <col min="11539" max="11539" width="15" style="7" customWidth="1"/>
    <col min="11540" max="11540" width="12.5546875" style="7" customWidth="1"/>
    <col min="11541" max="11541" width="10" style="7" bestFit="1" customWidth="1"/>
    <col min="11542" max="11542" width="8.6640625" style="7" customWidth="1"/>
    <col min="11543" max="11543" width="8.5546875" style="7" customWidth="1"/>
    <col min="11544" max="11544" width="8.44140625" style="7" customWidth="1"/>
    <col min="11545" max="11545" width="9.6640625" style="7" customWidth="1"/>
    <col min="11546" max="11546" width="9.33203125" style="7" customWidth="1"/>
    <col min="11547" max="11547" width="10.5546875" style="7" customWidth="1"/>
    <col min="11548" max="11548" width="12.109375" style="7" customWidth="1"/>
    <col min="11549" max="11549" width="11.5546875" style="7" customWidth="1"/>
    <col min="11550" max="11550" width="12" style="7" bestFit="1" customWidth="1"/>
    <col min="11551" max="11776" width="11.44140625" style="7"/>
    <col min="11777" max="11777" width="59" style="7" customWidth="1"/>
    <col min="11778" max="11789" width="15.6640625" style="7" customWidth="1"/>
    <col min="11790" max="11790" width="17.6640625" style="7" customWidth="1"/>
    <col min="11791" max="11791" width="15.6640625" style="7" customWidth="1"/>
    <col min="11792" max="11792" width="13.6640625" style="7" bestFit="1" customWidth="1"/>
    <col min="11793" max="11793" width="10.33203125" style="7" bestFit="1" customWidth="1"/>
    <col min="11794" max="11794" width="2.44140625" style="7" customWidth="1"/>
    <col min="11795" max="11795" width="15" style="7" customWidth="1"/>
    <col min="11796" max="11796" width="12.5546875" style="7" customWidth="1"/>
    <col min="11797" max="11797" width="10" style="7" bestFit="1" customWidth="1"/>
    <col min="11798" max="11798" width="8.6640625" style="7" customWidth="1"/>
    <col min="11799" max="11799" width="8.5546875" style="7" customWidth="1"/>
    <col min="11800" max="11800" width="8.44140625" style="7" customWidth="1"/>
    <col min="11801" max="11801" width="9.6640625" style="7" customWidth="1"/>
    <col min="11802" max="11802" width="9.33203125" style="7" customWidth="1"/>
    <col min="11803" max="11803" width="10.5546875" style="7" customWidth="1"/>
    <col min="11804" max="11804" width="12.109375" style="7" customWidth="1"/>
    <col min="11805" max="11805" width="11.5546875" style="7" customWidth="1"/>
    <col min="11806" max="11806" width="12" style="7" bestFit="1" customWidth="1"/>
    <col min="11807" max="12032" width="11.44140625" style="7"/>
    <col min="12033" max="12033" width="59" style="7" customWidth="1"/>
    <col min="12034" max="12045" width="15.6640625" style="7" customWidth="1"/>
    <col min="12046" max="12046" width="17.6640625" style="7" customWidth="1"/>
    <col min="12047" max="12047" width="15.6640625" style="7" customWidth="1"/>
    <col min="12048" max="12048" width="13.6640625" style="7" bestFit="1" customWidth="1"/>
    <col min="12049" max="12049" width="10.33203125" style="7" bestFit="1" customWidth="1"/>
    <col min="12050" max="12050" width="2.44140625" style="7" customWidth="1"/>
    <col min="12051" max="12051" width="15" style="7" customWidth="1"/>
    <col min="12052" max="12052" width="12.5546875" style="7" customWidth="1"/>
    <col min="12053" max="12053" width="10" style="7" bestFit="1" customWidth="1"/>
    <col min="12054" max="12054" width="8.6640625" style="7" customWidth="1"/>
    <col min="12055" max="12055" width="8.5546875" style="7" customWidth="1"/>
    <col min="12056" max="12056" width="8.44140625" style="7" customWidth="1"/>
    <col min="12057" max="12057" width="9.6640625" style="7" customWidth="1"/>
    <col min="12058" max="12058" width="9.33203125" style="7" customWidth="1"/>
    <col min="12059" max="12059" width="10.5546875" style="7" customWidth="1"/>
    <col min="12060" max="12060" width="12.109375" style="7" customWidth="1"/>
    <col min="12061" max="12061" width="11.5546875" style="7" customWidth="1"/>
    <col min="12062" max="12062" width="12" style="7" bestFit="1" customWidth="1"/>
    <col min="12063" max="12288" width="11.44140625" style="7"/>
    <col min="12289" max="12289" width="59" style="7" customWidth="1"/>
    <col min="12290" max="12301" width="15.6640625" style="7" customWidth="1"/>
    <col min="12302" max="12302" width="17.6640625" style="7" customWidth="1"/>
    <col min="12303" max="12303" width="15.6640625" style="7" customWidth="1"/>
    <col min="12304" max="12304" width="13.6640625" style="7" bestFit="1" customWidth="1"/>
    <col min="12305" max="12305" width="10.33203125" style="7" bestFit="1" customWidth="1"/>
    <col min="12306" max="12306" width="2.44140625" style="7" customWidth="1"/>
    <col min="12307" max="12307" width="15" style="7" customWidth="1"/>
    <col min="12308" max="12308" width="12.5546875" style="7" customWidth="1"/>
    <col min="12309" max="12309" width="10" style="7" bestFit="1" customWidth="1"/>
    <col min="12310" max="12310" width="8.6640625" style="7" customWidth="1"/>
    <col min="12311" max="12311" width="8.5546875" style="7" customWidth="1"/>
    <col min="12312" max="12312" width="8.44140625" style="7" customWidth="1"/>
    <col min="12313" max="12313" width="9.6640625" style="7" customWidth="1"/>
    <col min="12314" max="12314" width="9.33203125" style="7" customWidth="1"/>
    <col min="12315" max="12315" width="10.5546875" style="7" customWidth="1"/>
    <col min="12316" max="12316" width="12.109375" style="7" customWidth="1"/>
    <col min="12317" max="12317" width="11.5546875" style="7" customWidth="1"/>
    <col min="12318" max="12318" width="12" style="7" bestFit="1" customWidth="1"/>
    <col min="12319" max="12544" width="11.44140625" style="7"/>
    <col min="12545" max="12545" width="59" style="7" customWidth="1"/>
    <col min="12546" max="12557" width="15.6640625" style="7" customWidth="1"/>
    <col min="12558" max="12558" width="17.6640625" style="7" customWidth="1"/>
    <col min="12559" max="12559" width="15.6640625" style="7" customWidth="1"/>
    <col min="12560" max="12560" width="13.6640625" style="7" bestFit="1" customWidth="1"/>
    <col min="12561" max="12561" width="10.33203125" style="7" bestFit="1" customWidth="1"/>
    <col min="12562" max="12562" width="2.44140625" style="7" customWidth="1"/>
    <col min="12563" max="12563" width="15" style="7" customWidth="1"/>
    <col min="12564" max="12564" width="12.5546875" style="7" customWidth="1"/>
    <col min="12565" max="12565" width="10" style="7" bestFit="1" customWidth="1"/>
    <col min="12566" max="12566" width="8.6640625" style="7" customWidth="1"/>
    <col min="12567" max="12567" width="8.5546875" style="7" customWidth="1"/>
    <col min="12568" max="12568" width="8.44140625" style="7" customWidth="1"/>
    <col min="12569" max="12569" width="9.6640625" style="7" customWidth="1"/>
    <col min="12570" max="12570" width="9.33203125" style="7" customWidth="1"/>
    <col min="12571" max="12571" width="10.5546875" style="7" customWidth="1"/>
    <col min="12572" max="12572" width="12.109375" style="7" customWidth="1"/>
    <col min="12573" max="12573" width="11.5546875" style="7" customWidth="1"/>
    <col min="12574" max="12574" width="12" style="7" bestFit="1" customWidth="1"/>
    <col min="12575" max="12800" width="11.44140625" style="7"/>
    <col min="12801" max="12801" width="59" style="7" customWidth="1"/>
    <col min="12802" max="12813" width="15.6640625" style="7" customWidth="1"/>
    <col min="12814" max="12814" width="17.6640625" style="7" customWidth="1"/>
    <col min="12815" max="12815" width="15.6640625" style="7" customWidth="1"/>
    <col min="12816" max="12816" width="13.6640625" style="7" bestFit="1" customWidth="1"/>
    <col min="12817" max="12817" width="10.33203125" style="7" bestFit="1" customWidth="1"/>
    <col min="12818" max="12818" width="2.44140625" style="7" customWidth="1"/>
    <col min="12819" max="12819" width="15" style="7" customWidth="1"/>
    <col min="12820" max="12820" width="12.5546875" style="7" customWidth="1"/>
    <col min="12821" max="12821" width="10" style="7" bestFit="1" customWidth="1"/>
    <col min="12822" max="12822" width="8.6640625" style="7" customWidth="1"/>
    <col min="12823" max="12823" width="8.5546875" style="7" customWidth="1"/>
    <col min="12824" max="12824" width="8.44140625" style="7" customWidth="1"/>
    <col min="12825" max="12825" width="9.6640625" style="7" customWidth="1"/>
    <col min="12826" max="12826" width="9.33203125" style="7" customWidth="1"/>
    <col min="12827" max="12827" width="10.5546875" style="7" customWidth="1"/>
    <col min="12828" max="12828" width="12.109375" style="7" customWidth="1"/>
    <col min="12829" max="12829" width="11.5546875" style="7" customWidth="1"/>
    <col min="12830" max="12830" width="12" style="7" bestFit="1" customWidth="1"/>
    <col min="12831" max="13056" width="11.44140625" style="7"/>
    <col min="13057" max="13057" width="59" style="7" customWidth="1"/>
    <col min="13058" max="13069" width="15.6640625" style="7" customWidth="1"/>
    <col min="13070" max="13070" width="17.6640625" style="7" customWidth="1"/>
    <col min="13071" max="13071" width="15.6640625" style="7" customWidth="1"/>
    <col min="13072" max="13072" width="13.6640625" style="7" bestFit="1" customWidth="1"/>
    <col min="13073" max="13073" width="10.33203125" style="7" bestFit="1" customWidth="1"/>
    <col min="13074" max="13074" width="2.44140625" style="7" customWidth="1"/>
    <col min="13075" max="13075" width="15" style="7" customWidth="1"/>
    <col min="13076" max="13076" width="12.5546875" style="7" customWidth="1"/>
    <col min="13077" max="13077" width="10" style="7" bestFit="1" customWidth="1"/>
    <col min="13078" max="13078" width="8.6640625" style="7" customWidth="1"/>
    <col min="13079" max="13079" width="8.5546875" style="7" customWidth="1"/>
    <col min="13080" max="13080" width="8.44140625" style="7" customWidth="1"/>
    <col min="13081" max="13081" width="9.6640625" style="7" customWidth="1"/>
    <col min="13082" max="13082" width="9.33203125" style="7" customWidth="1"/>
    <col min="13083" max="13083" width="10.5546875" style="7" customWidth="1"/>
    <col min="13084" max="13084" width="12.109375" style="7" customWidth="1"/>
    <col min="13085" max="13085" width="11.5546875" style="7" customWidth="1"/>
    <col min="13086" max="13086" width="12" style="7" bestFit="1" customWidth="1"/>
    <col min="13087" max="13312" width="11.44140625" style="7"/>
    <col min="13313" max="13313" width="59" style="7" customWidth="1"/>
    <col min="13314" max="13325" width="15.6640625" style="7" customWidth="1"/>
    <col min="13326" max="13326" width="17.6640625" style="7" customWidth="1"/>
    <col min="13327" max="13327" width="15.6640625" style="7" customWidth="1"/>
    <col min="13328" max="13328" width="13.6640625" style="7" bestFit="1" customWidth="1"/>
    <col min="13329" max="13329" width="10.33203125" style="7" bestFit="1" customWidth="1"/>
    <col min="13330" max="13330" width="2.44140625" style="7" customWidth="1"/>
    <col min="13331" max="13331" width="15" style="7" customWidth="1"/>
    <col min="13332" max="13332" width="12.5546875" style="7" customWidth="1"/>
    <col min="13333" max="13333" width="10" style="7" bestFit="1" customWidth="1"/>
    <col min="13334" max="13334" width="8.6640625" style="7" customWidth="1"/>
    <col min="13335" max="13335" width="8.5546875" style="7" customWidth="1"/>
    <col min="13336" max="13336" width="8.44140625" style="7" customWidth="1"/>
    <col min="13337" max="13337" width="9.6640625" style="7" customWidth="1"/>
    <col min="13338" max="13338" width="9.33203125" style="7" customWidth="1"/>
    <col min="13339" max="13339" width="10.5546875" style="7" customWidth="1"/>
    <col min="13340" max="13340" width="12.109375" style="7" customWidth="1"/>
    <col min="13341" max="13341" width="11.5546875" style="7" customWidth="1"/>
    <col min="13342" max="13342" width="12" style="7" bestFit="1" customWidth="1"/>
    <col min="13343" max="13568" width="11.44140625" style="7"/>
    <col min="13569" max="13569" width="59" style="7" customWidth="1"/>
    <col min="13570" max="13581" width="15.6640625" style="7" customWidth="1"/>
    <col min="13582" max="13582" width="17.6640625" style="7" customWidth="1"/>
    <col min="13583" max="13583" width="15.6640625" style="7" customWidth="1"/>
    <col min="13584" max="13584" width="13.6640625" style="7" bestFit="1" customWidth="1"/>
    <col min="13585" max="13585" width="10.33203125" style="7" bestFit="1" customWidth="1"/>
    <col min="13586" max="13586" width="2.44140625" style="7" customWidth="1"/>
    <col min="13587" max="13587" width="15" style="7" customWidth="1"/>
    <col min="13588" max="13588" width="12.5546875" style="7" customWidth="1"/>
    <col min="13589" max="13589" width="10" style="7" bestFit="1" customWidth="1"/>
    <col min="13590" max="13590" width="8.6640625" style="7" customWidth="1"/>
    <col min="13591" max="13591" width="8.5546875" style="7" customWidth="1"/>
    <col min="13592" max="13592" width="8.44140625" style="7" customWidth="1"/>
    <col min="13593" max="13593" width="9.6640625" style="7" customWidth="1"/>
    <col min="13594" max="13594" width="9.33203125" style="7" customWidth="1"/>
    <col min="13595" max="13595" width="10.5546875" style="7" customWidth="1"/>
    <col min="13596" max="13596" width="12.109375" style="7" customWidth="1"/>
    <col min="13597" max="13597" width="11.5546875" style="7" customWidth="1"/>
    <col min="13598" max="13598" width="12" style="7" bestFit="1" customWidth="1"/>
    <col min="13599" max="13824" width="11.44140625" style="7"/>
    <col min="13825" max="13825" width="59" style="7" customWidth="1"/>
    <col min="13826" max="13837" width="15.6640625" style="7" customWidth="1"/>
    <col min="13838" max="13838" width="17.6640625" style="7" customWidth="1"/>
    <col min="13839" max="13839" width="15.6640625" style="7" customWidth="1"/>
    <col min="13840" max="13840" width="13.6640625" style="7" bestFit="1" customWidth="1"/>
    <col min="13841" max="13841" width="10.33203125" style="7" bestFit="1" customWidth="1"/>
    <col min="13842" max="13842" width="2.44140625" style="7" customWidth="1"/>
    <col min="13843" max="13843" width="15" style="7" customWidth="1"/>
    <col min="13844" max="13844" width="12.5546875" style="7" customWidth="1"/>
    <col min="13845" max="13845" width="10" style="7" bestFit="1" customWidth="1"/>
    <col min="13846" max="13846" width="8.6640625" style="7" customWidth="1"/>
    <col min="13847" max="13847" width="8.5546875" style="7" customWidth="1"/>
    <col min="13848" max="13848" width="8.44140625" style="7" customWidth="1"/>
    <col min="13849" max="13849" width="9.6640625" style="7" customWidth="1"/>
    <col min="13850" max="13850" width="9.33203125" style="7" customWidth="1"/>
    <col min="13851" max="13851" width="10.5546875" style="7" customWidth="1"/>
    <col min="13852" max="13852" width="12.109375" style="7" customWidth="1"/>
    <col min="13853" max="13853" width="11.5546875" style="7" customWidth="1"/>
    <col min="13854" max="13854" width="12" style="7" bestFit="1" customWidth="1"/>
    <col min="13855" max="14080" width="11.44140625" style="7"/>
    <col min="14081" max="14081" width="59" style="7" customWidth="1"/>
    <col min="14082" max="14093" width="15.6640625" style="7" customWidth="1"/>
    <col min="14094" max="14094" width="17.6640625" style="7" customWidth="1"/>
    <col min="14095" max="14095" width="15.6640625" style="7" customWidth="1"/>
    <col min="14096" max="14096" width="13.6640625" style="7" bestFit="1" customWidth="1"/>
    <col min="14097" max="14097" width="10.33203125" style="7" bestFit="1" customWidth="1"/>
    <col min="14098" max="14098" width="2.44140625" style="7" customWidth="1"/>
    <col min="14099" max="14099" width="15" style="7" customWidth="1"/>
    <col min="14100" max="14100" width="12.5546875" style="7" customWidth="1"/>
    <col min="14101" max="14101" width="10" style="7" bestFit="1" customWidth="1"/>
    <col min="14102" max="14102" width="8.6640625" style="7" customWidth="1"/>
    <col min="14103" max="14103" width="8.5546875" style="7" customWidth="1"/>
    <col min="14104" max="14104" width="8.44140625" style="7" customWidth="1"/>
    <col min="14105" max="14105" width="9.6640625" style="7" customWidth="1"/>
    <col min="14106" max="14106" width="9.33203125" style="7" customWidth="1"/>
    <col min="14107" max="14107" width="10.5546875" style="7" customWidth="1"/>
    <col min="14108" max="14108" width="12.109375" style="7" customWidth="1"/>
    <col min="14109" max="14109" width="11.5546875" style="7" customWidth="1"/>
    <col min="14110" max="14110" width="12" style="7" bestFit="1" customWidth="1"/>
    <col min="14111" max="14336" width="11.44140625" style="7"/>
    <col min="14337" max="14337" width="59" style="7" customWidth="1"/>
    <col min="14338" max="14349" width="15.6640625" style="7" customWidth="1"/>
    <col min="14350" max="14350" width="17.6640625" style="7" customWidth="1"/>
    <col min="14351" max="14351" width="15.6640625" style="7" customWidth="1"/>
    <col min="14352" max="14352" width="13.6640625" style="7" bestFit="1" customWidth="1"/>
    <col min="14353" max="14353" width="10.33203125" style="7" bestFit="1" customWidth="1"/>
    <col min="14354" max="14354" width="2.44140625" style="7" customWidth="1"/>
    <col min="14355" max="14355" width="15" style="7" customWidth="1"/>
    <col min="14356" max="14356" width="12.5546875" style="7" customWidth="1"/>
    <col min="14357" max="14357" width="10" style="7" bestFit="1" customWidth="1"/>
    <col min="14358" max="14358" width="8.6640625" style="7" customWidth="1"/>
    <col min="14359" max="14359" width="8.5546875" style="7" customWidth="1"/>
    <col min="14360" max="14360" width="8.44140625" style="7" customWidth="1"/>
    <col min="14361" max="14361" width="9.6640625" style="7" customWidth="1"/>
    <col min="14362" max="14362" width="9.33203125" style="7" customWidth="1"/>
    <col min="14363" max="14363" width="10.5546875" style="7" customWidth="1"/>
    <col min="14364" max="14364" width="12.109375" style="7" customWidth="1"/>
    <col min="14365" max="14365" width="11.5546875" style="7" customWidth="1"/>
    <col min="14366" max="14366" width="12" style="7" bestFit="1" customWidth="1"/>
    <col min="14367" max="14592" width="11.44140625" style="7"/>
    <col min="14593" max="14593" width="59" style="7" customWidth="1"/>
    <col min="14594" max="14605" width="15.6640625" style="7" customWidth="1"/>
    <col min="14606" max="14606" width="17.6640625" style="7" customWidth="1"/>
    <col min="14607" max="14607" width="15.6640625" style="7" customWidth="1"/>
    <col min="14608" max="14608" width="13.6640625" style="7" bestFit="1" customWidth="1"/>
    <col min="14609" max="14609" width="10.33203125" style="7" bestFit="1" customWidth="1"/>
    <col min="14610" max="14610" width="2.44140625" style="7" customWidth="1"/>
    <col min="14611" max="14611" width="15" style="7" customWidth="1"/>
    <col min="14612" max="14612" width="12.5546875" style="7" customWidth="1"/>
    <col min="14613" max="14613" width="10" style="7" bestFit="1" customWidth="1"/>
    <col min="14614" max="14614" width="8.6640625" style="7" customWidth="1"/>
    <col min="14615" max="14615" width="8.5546875" style="7" customWidth="1"/>
    <col min="14616" max="14616" width="8.44140625" style="7" customWidth="1"/>
    <col min="14617" max="14617" width="9.6640625" style="7" customWidth="1"/>
    <col min="14618" max="14618" width="9.33203125" style="7" customWidth="1"/>
    <col min="14619" max="14619" width="10.5546875" style="7" customWidth="1"/>
    <col min="14620" max="14620" width="12.109375" style="7" customWidth="1"/>
    <col min="14621" max="14621" width="11.5546875" style="7" customWidth="1"/>
    <col min="14622" max="14622" width="12" style="7" bestFit="1" customWidth="1"/>
    <col min="14623" max="14848" width="11.44140625" style="7"/>
    <col min="14849" max="14849" width="59" style="7" customWidth="1"/>
    <col min="14850" max="14861" width="15.6640625" style="7" customWidth="1"/>
    <col min="14862" max="14862" width="17.6640625" style="7" customWidth="1"/>
    <col min="14863" max="14863" width="15.6640625" style="7" customWidth="1"/>
    <col min="14864" max="14864" width="13.6640625" style="7" bestFit="1" customWidth="1"/>
    <col min="14865" max="14865" width="10.33203125" style="7" bestFit="1" customWidth="1"/>
    <col min="14866" max="14866" width="2.44140625" style="7" customWidth="1"/>
    <col min="14867" max="14867" width="15" style="7" customWidth="1"/>
    <col min="14868" max="14868" width="12.5546875" style="7" customWidth="1"/>
    <col min="14869" max="14869" width="10" style="7" bestFit="1" customWidth="1"/>
    <col min="14870" max="14870" width="8.6640625" style="7" customWidth="1"/>
    <col min="14871" max="14871" width="8.5546875" style="7" customWidth="1"/>
    <col min="14872" max="14872" width="8.44140625" style="7" customWidth="1"/>
    <col min="14873" max="14873" width="9.6640625" style="7" customWidth="1"/>
    <col min="14874" max="14874" width="9.33203125" style="7" customWidth="1"/>
    <col min="14875" max="14875" width="10.5546875" style="7" customWidth="1"/>
    <col min="14876" max="14876" width="12.109375" style="7" customWidth="1"/>
    <col min="14877" max="14877" width="11.5546875" style="7" customWidth="1"/>
    <col min="14878" max="14878" width="12" style="7" bestFit="1" customWidth="1"/>
    <col min="14879" max="15104" width="11.44140625" style="7"/>
    <col min="15105" max="15105" width="59" style="7" customWidth="1"/>
    <col min="15106" max="15117" width="15.6640625" style="7" customWidth="1"/>
    <col min="15118" max="15118" width="17.6640625" style="7" customWidth="1"/>
    <col min="15119" max="15119" width="15.6640625" style="7" customWidth="1"/>
    <col min="15120" max="15120" width="13.6640625" style="7" bestFit="1" customWidth="1"/>
    <col min="15121" max="15121" width="10.33203125" style="7" bestFit="1" customWidth="1"/>
    <col min="15122" max="15122" width="2.44140625" style="7" customWidth="1"/>
    <col min="15123" max="15123" width="15" style="7" customWidth="1"/>
    <col min="15124" max="15124" width="12.5546875" style="7" customWidth="1"/>
    <col min="15125" max="15125" width="10" style="7" bestFit="1" customWidth="1"/>
    <col min="15126" max="15126" width="8.6640625" style="7" customWidth="1"/>
    <col min="15127" max="15127" width="8.5546875" style="7" customWidth="1"/>
    <col min="15128" max="15128" width="8.44140625" style="7" customWidth="1"/>
    <col min="15129" max="15129" width="9.6640625" style="7" customWidth="1"/>
    <col min="15130" max="15130" width="9.33203125" style="7" customWidth="1"/>
    <col min="15131" max="15131" width="10.5546875" style="7" customWidth="1"/>
    <col min="15132" max="15132" width="12.109375" style="7" customWidth="1"/>
    <col min="15133" max="15133" width="11.5546875" style="7" customWidth="1"/>
    <col min="15134" max="15134" width="12" style="7" bestFit="1" customWidth="1"/>
    <col min="15135" max="15360" width="11.44140625" style="7"/>
    <col min="15361" max="15361" width="59" style="7" customWidth="1"/>
    <col min="15362" max="15373" width="15.6640625" style="7" customWidth="1"/>
    <col min="15374" max="15374" width="17.6640625" style="7" customWidth="1"/>
    <col min="15375" max="15375" width="15.6640625" style="7" customWidth="1"/>
    <col min="15376" max="15376" width="13.6640625" style="7" bestFit="1" customWidth="1"/>
    <col min="15377" max="15377" width="10.33203125" style="7" bestFit="1" customWidth="1"/>
    <col min="15378" max="15378" width="2.44140625" style="7" customWidth="1"/>
    <col min="15379" max="15379" width="15" style="7" customWidth="1"/>
    <col min="15380" max="15380" width="12.5546875" style="7" customWidth="1"/>
    <col min="15381" max="15381" width="10" style="7" bestFit="1" customWidth="1"/>
    <col min="15382" max="15382" width="8.6640625" style="7" customWidth="1"/>
    <col min="15383" max="15383" width="8.5546875" style="7" customWidth="1"/>
    <col min="15384" max="15384" width="8.44140625" style="7" customWidth="1"/>
    <col min="15385" max="15385" width="9.6640625" style="7" customWidth="1"/>
    <col min="15386" max="15386" width="9.33203125" style="7" customWidth="1"/>
    <col min="15387" max="15387" width="10.5546875" style="7" customWidth="1"/>
    <col min="15388" max="15388" width="12.109375" style="7" customWidth="1"/>
    <col min="15389" max="15389" width="11.5546875" style="7" customWidth="1"/>
    <col min="15390" max="15390" width="12" style="7" bestFit="1" customWidth="1"/>
    <col min="15391" max="15616" width="11.44140625" style="7"/>
    <col min="15617" max="15617" width="59" style="7" customWidth="1"/>
    <col min="15618" max="15629" width="15.6640625" style="7" customWidth="1"/>
    <col min="15630" max="15630" width="17.6640625" style="7" customWidth="1"/>
    <col min="15631" max="15631" width="15.6640625" style="7" customWidth="1"/>
    <col min="15632" max="15632" width="13.6640625" style="7" bestFit="1" customWidth="1"/>
    <col min="15633" max="15633" width="10.33203125" style="7" bestFit="1" customWidth="1"/>
    <col min="15634" max="15634" width="2.44140625" style="7" customWidth="1"/>
    <col min="15635" max="15635" width="15" style="7" customWidth="1"/>
    <col min="15636" max="15636" width="12.5546875" style="7" customWidth="1"/>
    <col min="15637" max="15637" width="10" style="7" bestFit="1" customWidth="1"/>
    <col min="15638" max="15638" width="8.6640625" style="7" customWidth="1"/>
    <col min="15639" max="15639" width="8.5546875" style="7" customWidth="1"/>
    <col min="15640" max="15640" width="8.44140625" style="7" customWidth="1"/>
    <col min="15641" max="15641" width="9.6640625" style="7" customWidth="1"/>
    <col min="15642" max="15642" width="9.33203125" style="7" customWidth="1"/>
    <col min="15643" max="15643" width="10.5546875" style="7" customWidth="1"/>
    <col min="15644" max="15644" width="12.109375" style="7" customWidth="1"/>
    <col min="15645" max="15645" width="11.5546875" style="7" customWidth="1"/>
    <col min="15646" max="15646" width="12" style="7" bestFit="1" customWidth="1"/>
    <col min="15647" max="15872" width="11.44140625" style="7"/>
    <col min="15873" max="15873" width="59" style="7" customWidth="1"/>
    <col min="15874" max="15885" width="15.6640625" style="7" customWidth="1"/>
    <col min="15886" max="15886" width="17.6640625" style="7" customWidth="1"/>
    <col min="15887" max="15887" width="15.6640625" style="7" customWidth="1"/>
    <col min="15888" max="15888" width="13.6640625" style="7" bestFit="1" customWidth="1"/>
    <col min="15889" max="15889" width="10.33203125" style="7" bestFit="1" customWidth="1"/>
    <col min="15890" max="15890" width="2.44140625" style="7" customWidth="1"/>
    <col min="15891" max="15891" width="15" style="7" customWidth="1"/>
    <col min="15892" max="15892" width="12.5546875" style="7" customWidth="1"/>
    <col min="15893" max="15893" width="10" style="7" bestFit="1" customWidth="1"/>
    <col min="15894" max="15894" width="8.6640625" style="7" customWidth="1"/>
    <col min="15895" max="15895" width="8.5546875" style="7" customWidth="1"/>
    <col min="15896" max="15896" width="8.44140625" style="7" customWidth="1"/>
    <col min="15897" max="15897" width="9.6640625" style="7" customWidth="1"/>
    <col min="15898" max="15898" width="9.33203125" style="7" customWidth="1"/>
    <col min="15899" max="15899" width="10.5546875" style="7" customWidth="1"/>
    <col min="15900" max="15900" width="12.109375" style="7" customWidth="1"/>
    <col min="15901" max="15901" width="11.5546875" style="7" customWidth="1"/>
    <col min="15902" max="15902" width="12" style="7" bestFit="1" customWidth="1"/>
    <col min="15903" max="16128" width="11.44140625" style="7"/>
    <col min="16129" max="16129" width="59" style="7" customWidth="1"/>
    <col min="16130" max="16141" width="15.6640625" style="7" customWidth="1"/>
    <col min="16142" max="16142" width="17.6640625" style="7" customWidth="1"/>
    <col min="16143" max="16143" width="15.6640625" style="7" customWidth="1"/>
    <col min="16144" max="16144" width="13.6640625" style="7" bestFit="1" customWidth="1"/>
    <col min="16145" max="16145" width="10.33203125" style="7" bestFit="1" customWidth="1"/>
    <col min="16146" max="16146" width="2.44140625" style="7" customWidth="1"/>
    <col min="16147" max="16147" width="15" style="7" customWidth="1"/>
    <col min="16148" max="16148" width="12.5546875" style="7" customWidth="1"/>
    <col min="16149" max="16149" width="10" style="7" bestFit="1" customWidth="1"/>
    <col min="16150" max="16150" width="8.6640625" style="7" customWidth="1"/>
    <col min="16151" max="16151" width="8.5546875" style="7" customWidth="1"/>
    <col min="16152" max="16152" width="8.44140625" style="7" customWidth="1"/>
    <col min="16153" max="16153" width="9.6640625" style="7" customWidth="1"/>
    <col min="16154" max="16154" width="9.33203125" style="7" customWidth="1"/>
    <col min="16155" max="16155" width="10.5546875" style="7" customWidth="1"/>
    <col min="16156" max="16156" width="12.109375" style="7" customWidth="1"/>
    <col min="16157" max="16157" width="11.5546875" style="7" customWidth="1"/>
    <col min="16158" max="16158" width="12" style="7" bestFit="1" customWidth="1"/>
    <col min="16159" max="16384" width="11.44140625" style="7"/>
  </cols>
  <sheetData>
    <row r="4" spans="1:33" ht="21" x14ac:dyDescent="0.4">
      <c r="A4" s="216" t="s">
        <v>123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33" ht="21" x14ac:dyDescent="0.4">
      <c r="A5" s="216" t="s">
        <v>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1:33" ht="21" x14ac:dyDescent="0.4">
      <c r="A6" s="216" t="s">
        <v>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9" spans="1:33" ht="27.75" customHeight="1" x14ac:dyDescent="0.4">
      <c r="A9" s="217" t="s">
        <v>2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</row>
    <row r="10" spans="1:33" ht="9" customHeight="1" x14ac:dyDescent="0.3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  <c r="O10" s="8"/>
      <c r="P10" s="8"/>
      <c r="Q10" s="11"/>
    </row>
    <row r="11" spans="1:33" s="19" customFormat="1" ht="13.2" x14ac:dyDescent="0.25">
      <c r="A11" s="12" t="s">
        <v>3</v>
      </c>
      <c r="B11" s="13" t="s">
        <v>4</v>
      </c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2" t="s">
        <v>14</v>
      </c>
      <c r="M11" s="12" t="s">
        <v>15</v>
      </c>
      <c r="N11" s="14" t="s">
        <v>16</v>
      </c>
      <c r="O11" s="15" t="s">
        <v>17</v>
      </c>
      <c r="P11" s="12" t="s">
        <v>18</v>
      </c>
      <c r="Q11" s="16" t="s">
        <v>19</v>
      </c>
      <c r="R11" s="17"/>
      <c r="S11" s="3"/>
      <c r="T11" s="3"/>
      <c r="U11" s="4"/>
      <c r="V11" s="4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3" s="24" customFormat="1" x14ac:dyDescent="0.3">
      <c r="A12" s="20" t="s">
        <v>20</v>
      </c>
      <c r="B12" s="21">
        <f t="shared" ref="B12:N12" si="0">+B13+B19</f>
        <v>956592.27</v>
      </c>
      <c r="C12" s="21">
        <f t="shared" si="0"/>
        <v>904302.02</v>
      </c>
      <c r="D12" s="21">
        <f t="shared" si="0"/>
        <v>981005.14</v>
      </c>
      <c r="E12" s="21">
        <f t="shared" si="0"/>
        <v>709675.91</v>
      </c>
      <c r="F12" s="21">
        <f>+F13+F19</f>
        <v>704903.02</v>
      </c>
      <c r="G12" s="21">
        <f t="shared" si="0"/>
        <v>727351.02</v>
      </c>
      <c r="H12" s="21">
        <f t="shared" si="0"/>
        <v>751501.54</v>
      </c>
      <c r="I12" s="21">
        <f t="shared" si="0"/>
        <v>964152.53</v>
      </c>
      <c r="J12" s="21">
        <f t="shared" si="0"/>
        <v>601278.57000000007</v>
      </c>
      <c r="K12" s="21">
        <f>+K13+K19</f>
        <v>601775.51</v>
      </c>
      <c r="L12" s="21">
        <f t="shared" si="0"/>
        <v>858870.85000000009</v>
      </c>
      <c r="M12" s="21">
        <f t="shared" si="0"/>
        <v>1337267.99</v>
      </c>
      <c r="N12" s="21">
        <f t="shared" si="0"/>
        <v>10098676.369999999</v>
      </c>
      <c r="O12" s="21">
        <f>SUM(O13+O19)</f>
        <v>8513539.7599999998</v>
      </c>
      <c r="P12" s="21">
        <f>+N12-O12</f>
        <v>1585136.6099999994</v>
      </c>
      <c r="Q12" s="22">
        <f>+N12/O12-1</f>
        <v>0.18619007541934574</v>
      </c>
      <c r="R12" s="1"/>
      <c r="S12" s="2"/>
      <c r="T12" s="3"/>
      <c r="U12" s="4"/>
      <c r="V12" s="4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23"/>
    </row>
    <row r="13" spans="1:33" s="33" customFormat="1" x14ac:dyDescent="0.3">
      <c r="A13" s="25" t="s">
        <v>21</v>
      </c>
      <c r="B13" s="26">
        <f>+B14+B17+B18</f>
        <v>956592.27</v>
      </c>
      <c r="C13" s="26">
        <f>+C14+C17+C18</f>
        <v>904302.02</v>
      </c>
      <c r="D13" s="26">
        <f>+D14+D17+D18</f>
        <v>792177.14</v>
      </c>
      <c r="E13" s="26">
        <f>+E14+E17+E18</f>
        <v>709675.91</v>
      </c>
      <c r="F13" s="26">
        <f t="shared" ref="F13:N13" si="1">+F14+F17+F18</f>
        <v>704903.02</v>
      </c>
      <c r="G13" s="26">
        <f t="shared" si="1"/>
        <v>727351.02</v>
      </c>
      <c r="H13" s="26">
        <f t="shared" si="1"/>
        <v>751501.54</v>
      </c>
      <c r="I13" s="26">
        <f t="shared" si="1"/>
        <v>964152.53</v>
      </c>
      <c r="J13" s="26">
        <f t="shared" si="1"/>
        <v>601278.57000000007</v>
      </c>
      <c r="K13" s="26">
        <f t="shared" si="1"/>
        <v>601775.51</v>
      </c>
      <c r="L13" s="26">
        <f t="shared" si="1"/>
        <v>858870.85000000009</v>
      </c>
      <c r="M13" s="26">
        <f t="shared" si="1"/>
        <v>1337267.99</v>
      </c>
      <c r="N13" s="28">
        <f t="shared" si="1"/>
        <v>9909848.3699999992</v>
      </c>
      <c r="O13" s="27">
        <f>SUM(O14+O17+O18)</f>
        <v>8513539.7599999998</v>
      </c>
      <c r="P13" s="26">
        <f>+P14+P17+P18</f>
        <v>1396308.6099999994</v>
      </c>
      <c r="Q13" s="29">
        <f t="shared" ref="Q13:Q36" si="2">+N13/O13-1</f>
        <v>0.16401034697229155</v>
      </c>
      <c r="R13" s="30"/>
      <c r="S13" s="2"/>
      <c r="T13" s="3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</row>
    <row r="14" spans="1:33" s="33" customFormat="1" x14ac:dyDescent="0.3">
      <c r="A14" s="34" t="s">
        <v>22</v>
      </c>
      <c r="B14" s="35">
        <f>+B15+B16</f>
        <v>956592.27</v>
      </c>
      <c r="C14" s="35">
        <f>+C15+C16</f>
        <v>904302.02</v>
      </c>
      <c r="D14" s="35">
        <f>+D15+D16</f>
        <v>792177.14</v>
      </c>
      <c r="E14" s="35">
        <f>+E15+E16</f>
        <v>709675.91</v>
      </c>
      <c r="F14" s="35">
        <f>+F15+F16</f>
        <v>704903.02</v>
      </c>
      <c r="G14" s="35">
        <f t="shared" ref="G14:N14" si="3">+G15+G16</f>
        <v>727351.02</v>
      </c>
      <c r="H14" s="35">
        <f t="shared" si="3"/>
        <v>751501.54</v>
      </c>
      <c r="I14" s="35">
        <f t="shared" si="3"/>
        <v>964152.53</v>
      </c>
      <c r="J14" s="35">
        <f t="shared" si="3"/>
        <v>601278.57000000007</v>
      </c>
      <c r="K14" s="35">
        <f>+K15+K16</f>
        <v>601775.51</v>
      </c>
      <c r="L14" s="35">
        <f>+L15+L16</f>
        <v>858870.85000000009</v>
      </c>
      <c r="M14" s="35">
        <f t="shared" si="3"/>
        <v>1337267.99</v>
      </c>
      <c r="N14" s="37">
        <f t="shared" si="3"/>
        <v>9909848.3699999992</v>
      </c>
      <c r="O14" s="36">
        <f>(O15+O16)</f>
        <v>8513539.7599999998</v>
      </c>
      <c r="P14" s="35">
        <f>+P15+P16</f>
        <v>1396308.6099999994</v>
      </c>
      <c r="Q14" s="38">
        <f t="shared" si="2"/>
        <v>0.16401034697229155</v>
      </c>
      <c r="R14" s="39"/>
      <c r="S14" s="2"/>
      <c r="T14" s="3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</row>
    <row r="15" spans="1:33" s="33" customFormat="1" x14ac:dyDescent="0.3">
      <c r="A15" s="40" t="s">
        <v>23</v>
      </c>
      <c r="B15" s="36">
        <v>955071.01</v>
      </c>
      <c r="C15" s="36">
        <v>897989.67</v>
      </c>
      <c r="D15" s="36">
        <v>781959.49</v>
      </c>
      <c r="E15" s="36">
        <v>674650.91</v>
      </c>
      <c r="F15" s="36">
        <v>701476.02</v>
      </c>
      <c r="G15" s="36">
        <v>702861.74</v>
      </c>
      <c r="H15" s="36">
        <v>747555.93</v>
      </c>
      <c r="I15" s="36">
        <v>954242.24</v>
      </c>
      <c r="J15" s="36">
        <v>596306.01</v>
      </c>
      <c r="K15" s="36">
        <v>598707.64</v>
      </c>
      <c r="L15" s="36">
        <v>856326.68</v>
      </c>
      <c r="M15" s="36">
        <v>1333520.95</v>
      </c>
      <c r="N15" s="37">
        <f t="shared" ref="N15:N37" si="4">SUM(B15:M15)</f>
        <v>9800668.2899999991</v>
      </c>
      <c r="O15" s="36">
        <v>8513539.7599999998</v>
      </c>
      <c r="P15" s="27">
        <f>+N15-O15</f>
        <v>1287128.5299999993</v>
      </c>
      <c r="Q15" s="41">
        <f t="shared" si="2"/>
        <v>0.15118605965140874</v>
      </c>
      <c r="R15" s="39"/>
      <c r="S15" s="42">
        <v>28493717</v>
      </c>
      <c r="T15" s="43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</row>
    <row r="16" spans="1:33" s="33" customFormat="1" x14ac:dyDescent="0.3">
      <c r="A16" s="40" t="s">
        <v>24</v>
      </c>
      <c r="B16" s="27">
        <v>1521.26</v>
      </c>
      <c r="C16" s="27">
        <v>6312.35</v>
      </c>
      <c r="D16" s="27">
        <v>10217.65</v>
      </c>
      <c r="E16" s="27">
        <v>35025</v>
      </c>
      <c r="F16" s="27">
        <v>3427</v>
      </c>
      <c r="G16" s="27">
        <v>24489.279999999999</v>
      </c>
      <c r="H16" s="27">
        <v>3945.61</v>
      </c>
      <c r="I16" s="27">
        <v>9910.2900000000009</v>
      </c>
      <c r="J16" s="27">
        <v>4972.5600000000004</v>
      </c>
      <c r="K16" s="27">
        <v>3067.87</v>
      </c>
      <c r="L16" s="27">
        <v>2544.17</v>
      </c>
      <c r="M16" s="27">
        <v>3747.04</v>
      </c>
      <c r="N16" s="37">
        <f t="shared" si="4"/>
        <v>109180.07999999999</v>
      </c>
      <c r="O16" s="27"/>
      <c r="P16" s="27">
        <f>+N16-O16</f>
        <v>109180.07999999999</v>
      </c>
      <c r="Q16" s="41" t="e">
        <f t="shared" si="2"/>
        <v>#DIV/0!</v>
      </c>
      <c r="R16" s="39"/>
      <c r="S16" s="42">
        <f>29811701+108584-S15</f>
        <v>1426568</v>
      </c>
      <c r="T16" s="43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</row>
    <row r="17" spans="1:33" s="33" customFormat="1" ht="15.75" customHeight="1" x14ac:dyDescent="0.3">
      <c r="A17" s="44" t="s">
        <v>25</v>
      </c>
      <c r="B17" s="36"/>
      <c r="C17" s="36"/>
      <c r="D17" s="36"/>
      <c r="E17" s="45"/>
      <c r="F17" s="45"/>
      <c r="G17" s="45"/>
      <c r="H17" s="36"/>
      <c r="I17" s="36"/>
      <c r="J17" s="36"/>
      <c r="K17" s="36"/>
      <c r="L17" s="36"/>
      <c r="M17" s="36"/>
      <c r="N17" s="37">
        <f t="shared" si="4"/>
        <v>0</v>
      </c>
      <c r="O17" s="36">
        <v>0</v>
      </c>
      <c r="P17" s="27">
        <f>+N17-O17</f>
        <v>0</v>
      </c>
      <c r="Q17" s="41" t="e">
        <f t="shared" si="2"/>
        <v>#DIV/0!</v>
      </c>
      <c r="R17" s="39"/>
      <c r="S17" s="42">
        <v>-1146687</v>
      </c>
      <c r="T17" s="43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</row>
    <row r="18" spans="1:33" s="33" customFormat="1" ht="21" customHeight="1" x14ac:dyDescent="0.3">
      <c r="A18" s="44" t="s">
        <v>26</v>
      </c>
      <c r="B18" s="36"/>
      <c r="C18" s="36"/>
      <c r="D18" s="36"/>
      <c r="E18" s="45"/>
      <c r="F18" s="45"/>
      <c r="G18" s="45"/>
      <c r="H18" s="36"/>
      <c r="I18" s="36"/>
      <c r="J18" s="36"/>
      <c r="K18" s="36"/>
      <c r="L18" s="36"/>
      <c r="M18" s="36"/>
      <c r="N18" s="37">
        <f t="shared" si="4"/>
        <v>0</v>
      </c>
      <c r="O18" s="36">
        <v>0</v>
      </c>
      <c r="P18" s="27">
        <f>+N18-O18</f>
        <v>0</v>
      </c>
      <c r="Q18" s="41" t="e">
        <f t="shared" si="2"/>
        <v>#DIV/0!</v>
      </c>
      <c r="R18" s="39"/>
      <c r="S18" s="42">
        <v>-745594</v>
      </c>
      <c r="T18" s="43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</row>
    <row r="19" spans="1:33" s="33" customFormat="1" x14ac:dyDescent="0.3">
      <c r="A19" s="25" t="s">
        <v>27</v>
      </c>
      <c r="B19" s="36"/>
      <c r="C19" s="36"/>
      <c r="D19" s="46">
        <v>188828</v>
      </c>
      <c r="E19" s="36"/>
      <c r="F19" s="36"/>
      <c r="G19" s="36"/>
      <c r="H19" s="36"/>
      <c r="I19" s="36"/>
      <c r="J19" s="36"/>
      <c r="K19" s="36"/>
      <c r="L19" s="36"/>
      <c r="M19" s="36"/>
      <c r="N19" s="37">
        <f>SUM(B19:M19)</f>
        <v>188828</v>
      </c>
      <c r="O19" s="36"/>
      <c r="P19" s="27">
        <f>+N19-O19</f>
        <v>188828</v>
      </c>
      <c r="Q19" s="41" t="e">
        <f t="shared" si="2"/>
        <v>#DIV/0!</v>
      </c>
      <c r="R19" s="39"/>
      <c r="S19" s="42">
        <f>744424+3297032</f>
        <v>4041456</v>
      </c>
      <c r="T19" s="43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</row>
    <row r="20" spans="1:33" s="33" customFormat="1" x14ac:dyDescent="0.3">
      <c r="A20" s="2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7"/>
      <c r="O20" s="35"/>
      <c r="P20" s="26"/>
      <c r="Q20" s="29"/>
      <c r="R20" s="47"/>
      <c r="S20" s="42">
        <f>+S15+S16+S19</f>
        <v>33961741</v>
      </c>
      <c r="T20" s="48">
        <f>+S20/12*8</f>
        <v>22641160.666666668</v>
      </c>
      <c r="U20" s="48">
        <f>+T20-O12</f>
        <v>14127620.906666668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</row>
    <row r="21" spans="1:33" s="54" customFormat="1" x14ac:dyDescent="0.3">
      <c r="A21" s="49" t="s">
        <v>28</v>
      </c>
      <c r="B21" s="50">
        <f>+B22+B31+B35</f>
        <v>548617.46</v>
      </c>
      <c r="C21" s="50">
        <f>+C22+C31+C35</f>
        <v>786562.96</v>
      </c>
      <c r="D21" s="50">
        <f>+D22+D31+D35</f>
        <v>688399.69000000006</v>
      </c>
      <c r="E21" s="50">
        <f>+E22+E31+E35</f>
        <v>833742.87999999989</v>
      </c>
      <c r="F21" s="50">
        <f>+F22+F30+F31+F35</f>
        <v>818979.14000000013</v>
      </c>
      <c r="G21" s="50">
        <f>+G22+G30+G31+G35</f>
        <v>656928.06000000006</v>
      </c>
      <c r="H21" s="50">
        <f>+H22+H30+H31+H35</f>
        <v>719108.59</v>
      </c>
      <c r="I21" s="50">
        <f>+I22+I30+I31+I35</f>
        <v>807277.94</v>
      </c>
      <c r="J21" s="50">
        <f>SUM(J22,J31)</f>
        <v>640089.13</v>
      </c>
      <c r="K21" s="50">
        <f>+K22+K30+K31+K35</f>
        <v>717668.98</v>
      </c>
      <c r="L21" s="50">
        <f>+L22+L30+L31+L35</f>
        <v>778091.74</v>
      </c>
      <c r="M21" s="50">
        <f>+M22+M30+M31+M35</f>
        <v>1040638.71</v>
      </c>
      <c r="N21" s="50">
        <f>+N22+N30+N31+N35</f>
        <v>9401294.1900000013</v>
      </c>
      <c r="O21" s="50">
        <f>+O22+O30+O31+O35</f>
        <v>8708085.6099999994</v>
      </c>
      <c r="P21" s="50">
        <f>+P22+P35</f>
        <v>-1459147.6399999997</v>
      </c>
      <c r="Q21" s="51">
        <f>+N21/O21-1</f>
        <v>7.9605163642850529E-2</v>
      </c>
      <c r="R21" s="52"/>
      <c r="S21" s="2"/>
      <c r="T21" s="3"/>
      <c r="U21" s="3"/>
      <c r="V21" s="4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3"/>
    </row>
    <row r="22" spans="1:33" s="33" customFormat="1" x14ac:dyDescent="0.3">
      <c r="A22" s="55" t="s">
        <v>29</v>
      </c>
      <c r="B22" s="56">
        <f t="shared" ref="B22:G22" si="5">+B23+B24+B25</f>
        <v>469345.13</v>
      </c>
      <c r="C22" s="56">
        <f t="shared" si="5"/>
        <v>722308.72</v>
      </c>
      <c r="D22" s="56">
        <f t="shared" si="5"/>
        <v>613629.31000000006</v>
      </c>
      <c r="E22" s="56">
        <f t="shared" si="5"/>
        <v>743429.7</v>
      </c>
      <c r="F22" s="56">
        <f t="shared" si="5"/>
        <v>693224.84000000008</v>
      </c>
      <c r="G22" s="56">
        <f t="shared" si="5"/>
        <v>528253.80000000005</v>
      </c>
      <c r="H22" s="56">
        <f>+H23+H24+H25</f>
        <v>546711.32999999996</v>
      </c>
      <c r="I22" s="56">
        <f>+I23+I24+I25</f>
        <v>607803.17999999993</v>
      </c>
      <c r="J22" s="56">
        <f>+J23+J24+J25</f>
        <v>520461.21</v>
      </c>
      <c r="K22" s="56">
        <f>+K23+K24+K25+K29</f>
        <v>596047.22</v>
      </c>
      <c r="L22" s="56">
        <f>+L23+L24+L25</f>
        <v>520539.41000000003</v>
      </c>
      <c r="M22" s="56">
        <f>+M23+M24+M25</f>
        <v>672631.64</v>
      </c>
      <c r="N22" s="56">
        <f t="shared" ref="N22" si="6">+N23+N24+N25+N29</f>
        <v>7599574.4000000004</v>
      </c>
      <c r="O22" s="56">
        <f>+O23+O24+O25</f>
        <v>6465387.4500000002</v>
      </c>
      <c r="P22" s="56">
        <f>+P23+P24+P25+P29</f>
        <v>783550.5200000006</v>
      </c>
      <c r="Q22" s="57">
        <f t="shared" si="2"/>
        <v>0.17542443647364081</v>
      </c>
      <c r="R22" s="30"/>
      <c r="S22" s="2"/>
      <c r="T22" s="3"/>
      <c r="U22" s="3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</row>
    <row r="23" spans="1:33" s="33" customFormat="1" x14ac:dyDescent="0.3">
      <c r="A23" s="34" t="s">
        <v>30</v>
      </c>
      <c r="B23" s="36">
        <v>207586.21</v>
      </c>
      <c r="C23" s="36">
        <v>412381.24</v>
      </c>
      <c r="D23" s="36">
        <v>281755.2</v>
      </c>
      <c r="E23" s="36">
        <v>292641.34999999998</v>
      </c>
      <c r="F23" s="36">
        <v>311782.84000000003</v>
      </c>
      <c r="G23" s="36">
        <v>228308.03</v>
      </c>
      <c r="H23" s="36">
        <v>254131.08</v>
      </c>
      <c r="I23" s="36">
        <v>309207.65000000002</v>
      </c>
      <c r="J23" s="36">
        <v>262437.78000000003</v>
      </c>
      <c r="K23" s="36">
        <v>312466.74</v>
      </c>
      <c r="L23" s="36">
        <v>264446.95</v>
      </c>
      <c r="M23" s="36">
        <v>322663.67999999999</v>
      </c>
      <c r="N23" s="58">
        <f t="shared" si="4"/>
        <v>3459808.7500000005</v>
      </c>
      <c r="O23" s="36">
        <v>2990507.29</v>
      </c>
      <c r="P23" s="27">
        <f>+N23-O23</f>
        <v>469301.46000000043</v>
      </c>
      <c r="Q23" s="41">
        <f t="shared" si="2"/>
        <v>0.15693038487794508</v>
      </c>
      <c r="R23" s="47"/>
      <c r="S23" s="42"/>
      <c r="T23" s="3"/>
      <c r="U23" s="3"/>
      <c r="V23" s="59"/>
      <c r="W23" s="59"/>
      <c r="X23" s="31"/>
      <c r="Y23" s="31"/>
      <c r="Z23" s="31"/>
      <c r="AA23" s="31"/>
      <c r="AB23" s="31"/>
      <c r="AC23" s="31"/>
      <c r="AD23" s="31"/>
      <c r="AE23" s="31"/>
      <c r="AF23" s="31"/>
      <c r="AG23" s="32"/>
    </row>
    <row r="24" spans="1:33" s="33" customFormat="1" x14ac:dyDescent="0.3">
      <c r="A24" s="34" t="s">
        <v>31</v>
      </c>
      <c r="B24" s="36">
        <v>81038.44</v>
      </c>
      <c r="C24" s="36">
        <v>91941.75</v>
      </c>
      <c r="D24" s="36">
        <v>63954.5</v>
      </c>
      <c r="E24" s="36">
        <v>158240.6</v>
      </c>
      <c r="F24" s="36">
        <v>106478.98</v>
      </c>
      <c r="G24" s="36">
        <v>102655.67</v>
      </c>
      <c r="H24" s="36">
        <v>100021.13</v>
      </c>
      <c r="I24" s="36">
        <v>123855.42</v>
      </c>
      <c r="J24" s="36">
        <v>74712.67</v>
      </c>
      <c r="K24" s="36">
        <v>66186.789999999994</v>
      </c>
      <c r="L24" s="36">
        <v>62756.25</v>
      </c>
      <c r="M24" s="36">
        <v>130864.62</v>
      </c>
      <c r="N24" s="58">
        <f t="shared" si="4"/>
        <v>1162706.8200000003</v>
      </c>
      <c r="O24" s="36">
        <v>770637.16</v>
      </c>
      <c r="P24" s="27">
        <f>+N24-O24</f>
        <v>392069.66000000027</v>
      </c>
      <c r="Q24" s="41">
        <f t="shared" si="2"/>
        <v>0.50876038731379136</v>
      </c>
      <c r="R24" s="47"/>
      <c r="S24" s="42"/>
      <c r="T24" s="3"/>
      <c r="U24" s="3"/>
      <c r="V24" s="59"/>
      <c r="W24" s="59"/>
      <c r="X24" s="31"/>
      <c r="Y24" s="31"/>
      <c r="Z24" s="31"/>
      <c r="AA24" s="31"/>
      <c r="AB24" s="31"/>
      <c r="AC24" s="31"/>
      <c r="AD24" s="31"/>
      <c r="AE24" s="31"/>
      <c r="AF24" s="31"/>
      <c r="AG24" s="32"/>
    </row>
    <row r="25" spans="1:33" s="33" customFormat="1" x14ac:dyDescent="0.3">
      <c r="A25" s="34" t="s">
        <v>32</v>
      </c>
      <c r="B25" s="36">
        <f t="shared" ref="B25:G25" si="7">SUM(B26:B28)</f>
        <v>180720.47999999998</v>
      </c>
      <c r="C25" s="36">
        <f t="shared" si="7"/>
        <v>217985.72999999998</v>
      </c>
      <c r="D25" s="36">
        <f t="shared" si="7"/>
        <v>267919.61</v>
      </c>
      <c r="E25" s="36">
        <f t="shared" si="7"/>
        <v>292547.75</v>
      </c>
      <c r="F25" s="36">
        <f t="shared" si="7"/>
        <v>274963.02</v>
      </c>
      <c r="G25" s="36">
        <f t="shared" si="7"/>
        <v>197290.09999999998</v>
      </c>
      <c r="H25" s="36">
        <f>SUM(H26:H28)</f>
        <v>192559.12</v>
      </c>
      <c r="I25" s="36">
        <f>SUM(I26:I28)</f>
        <v>174740.11</v>
      </c>
      <c r="J25" s="36">
        <f t="shared" ref="J25:K25" si="8">SUM(J26:J28)</f>
        <v>183310.76</v>
      </c>
      <c r="K25" s="36">
        <f t="shared" si="8"/>
        <v>193539.40000000002</v>
      </c>
      <c r="L25" s="36">
        <f>SUM(L26:L28)</f>
        <v>193336.21</v>
      </c>
      <c r="M25" s="36">
        <f>SUM(M26:M28)</f>
        <v>219103.34</v>
      </c>
      <c r="N25" s="58">
        <f>SUM(N26:N28)</f>
        <v>2588015.63</v>
      </c>
      <c r="O25" s="36">
        <f>SUM(O26:O28)</f>
        <v>2704243</v>
      </c>
      <c r="P25" s="36">
        <f>SUM(P26:P28)</f>
        <v>-116227.37000000016</v>
      </c>
      <c r="Q25" s="60">
        <f t="shared" si="2"/>
        <v>-4.297963237771163E-2</v>
      </c>
      <c r="R25" s="47"/>
      <c r="S25" s="42"/>
      <c r="T25" s="61"/>
      <c r="U25" s="3"/>
      <c r="V25" s="59"/>
      <c r="W25" s="59"/>
      <c r="X25" s="31"/>
      <c r="Y25" s="31"/>
      <c r="Z25" s="31"/>
      <c r="AA25" s="31"/>
      <c r="AB25" s="31"/>
      <c r="AC25" s="31"/>
      <c r="AD25" s="31"/>
      <c r="AE25" s="31"/>
      <c r="AF25" s="31"/>
      <c r="AG25" s="32"/>
    </row>
    <row r="26" spans="1:33" s="33" customFormat="1" x14ac:dyDescent="0.3">
      <c r="A26" s="40" t="s">
        <v>33</v>
      </c>
      <c r="B26" s="36">
        <v>112531</v>
      </c>
      <c r="C26" s="36">
        <v>101067</v>
      </c>
      <c r="D26" s="36">
        <v>98075.58</v>
      </c>
      <c r="E26" s="36">
        <v>102932.23</v>
      </c>
      <c r="F26" s="36">
        <v>79847.23</v>
      </c>
      <c r="G26" s="36">
        <v>96849.27</v>
      </c>
      <c r="H26" s="36">
        <v>90097.39</v>
      </c>
      <c r="I26" s="36">
        <v>86480.74</v>
      </c>
      <c r="J26" s="36">
        <v>94460.160000000003</v>
      </c>
      <c r="K26" s="36">
        <v>134364.20000000001</v>
      </c>
      <c r="L26" s="36">
        <v>101500.9</v>
      </c>
      <c r="M26" s="36">
        <v>109522.37</v>
      </c>
      <c r="N26" s="58">
        <f t="shared" si="4"/>
        <v>1207728.0699999998</v>
      </c>
      <c r="O26" s="36">
        <v>1429470.41</v>
      </c>
      <c r="P26" s="27">
        <f t="shared" ref="P26:P31" si="9">+N26-O26</f>
        <v>-221742.34000000008</v>
      </c>
      <c r="Q26" s="41">
        <f t="shared" si="2"/>
        <v>-0.15512202172831269</v>
      </c>
      <c r="R26" s="30"/>
      <c r="S26" s="42"/>
      <c r="T26" s="3"/>
      <c r="U26" s="3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1:33" s="33" customFormat="1" x14ac:dyDescent="0.3">
      <c r="A27" s="40" t="s">
        <v>34</v>
      </c>
      <c r="B27" s="35">
        <f>(1184.61+38237)</f>
        <v>39421.61</v>
      </c>
      <c r="C27" s="36">
        <f>(595.47+3872.46)</f>
        <v>4467.93</v>
      </c>
      <c r="D27" s="36">
        <f>(4064.33+5591.54)</f>
        <v>9655.869999999999</v>
      </c>
      <c r="E27" s="36">
        <f>(3776.38+2768.92)</f>
        <v>6545.3</v>
      </c>
      <c r="F27" s="36">
        <v>6875.09</v>
      </c>
      <c r="G27" s="36">
        <f>(5713.37+2019.42)</f>
        <v>7732.79</v>
      </c>
      <c r="H27" s="36">
        <f>(3774.56+3189.63)</f>
        <v>6964.1900000000005</v>
      </c>
      <c r="I27" s="36">
        <f>(7946.85+5038.99)</f>
        <v>12985.84</v>
      </c>
      <c r="J27" s="36">
        <f>(4398.6+1719.08)</f>
        <v>6117.68</v>
      </c>
      <c r="K27" s="36">
        <f>(3658.63+3042.47)</f>
        <v>6701.1</v>
      </c>
      <c r="L27" s="36">
        <v>10948.44</v>
      </c>
      <c r="M27" s="36">
        <v>13677.06</v>
      </c>
      <c r="N27" s="58">
        <f t="shared" si="4"/>
        <v>132092.9</v>
      </c>
      <c r="O27" s="36">
        <v>29496.36</v>
      </c>
      <c r="P27" s="27">
        <f t="shared" si="9"/>
        <v>102596.54</v>
      </c>
      <c r="Q27" s="41">
        <f t="shared" si="2"/>
        <v>3.4782779976919187</v>
      </c>
      <c r="R27" s="47"/>
      <c r="S27" s="42"/>
      <c r="T27" s="3"/>
      <c r="U27" s="3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</row>
    <row r="28" spans="1:33" s="33" customFormat="1" x14ac:dyDescent="0.3">
      <c r="A28" s="40" t="s">
        <v>35</v>
      </c>
      <c r="B28" s="62">
        <v>28767.87</v>
      </c>
      <c r="C28" s="62">
        <v>112450.8</v>
      </c>
      <c r="D28" s="36">
        <v>160188.16</v>
      </c>
      <c r="E28" s="206">
        <v>183070.22</v>
      </c>
      <c r="F28" s="62">
        <v>188240.7</v>
      </c>
      <c r="G28" s="62">
        <v>92708.04</v>
      </c>
      <c r="H28" s="62">
        <v>95497.54</v>
      </c>
      <c r="I28" s="62">
        <v>75273.53</v>
      </c>
      <c r="J28" s="62">
        <v>82732.92</v>
      </c>
      <c r="K28" s="62">
        <v>52474.1</v>
      </c>
      <c r="L28" s="36">
        <v>80886.87</v>
      </c>
      <c r="M28" s="62">
        <v>95903.91</v>
      </c>
      <c r="N28" s="58">
        <f t="shared" si="4"/>
        <v>1248194.6599999999</v>
      </c>
      <c r="O28" s="63">
        <v>1245276.23</v>
      </c>
      <c r="P28" s="27">
        <f t="shared" si="9"/>
        <v>2918.4299999999348</v>
      </c>
      <c r="Q28" s="41">
        <f t="shared" si="2"/>
        <v>2.3436005038013352E-3</v>
      </c>
      <c r="R28" s="30"/>
      <c r="S28" s="42"/>
      <c r="T28" s="3"/>
      <c r="U28" s="3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</row>
    <row r="29" spans="1:33" s="33" customFormat="1" x14ac:dyDescent="0.3">
      <c r="A29" s="34" t="s">
        <v>36</v>
      </c>
      <c r="B29" s="35">
        <v>43789.93</v>
      </c>
      <c r="C29" s="201">
        <v>30923.17</v>
      </c>
      <c r="D29" s="36">
        <v>35315.74</v>
      </c>
      <c r="E29" s="36">
        <v>29164.9</v>
      </c>
      <c r="F29" s="36">
        <v>28804.240000000002</v>
      </c>
      <c r="G29" s="36">
        <v>28694.82</v>
      </c>
      <c r="H29" s="36">
        <v>28757.93</v>
      </c>
      <c r="I29" s="35">
        <v>37738.370000000003</v>
      </c>
      <c r="J29" s="35">
        <v>23785.4</v>
      </c>
      <c r="K29" s="35">
        <v>23854.29</v>
      </c>
      <c r="L29" s="35">
        <v>29938.720000000001</v>
      </c>
      <c r="M29" s="36">
        <v>48275.69</v>
      </c>
      <c r="N29" s="37">
        <f>SUM(B29:M29)</f>
        <v>389043.20000000001</v>
      </c>
      <c r="O29" s="36">
        <v>350636.43</v>
      </c>
      <c r="P29" s="26">
        <f t="shared" si="9"/>
        <v>38406.770000000019</v>
      </c>
      <c r="Q29" s="29">
        <f>+N29/O29-1</f>
        <v>0.10953445424937747</v>
      </c>
      <c r="R29" s="47"/>
      <c r="S29" s="42"/>
      <c r="T29" s="3"/>
      <c r="U29" s="3"/>
      <c r="V29" s="59"/>
      <c r="W29" s="59"/>
      <c r="X29" s="31"/>
      <c r="Y29" s="31"/>
      <c r="Z29" s="31"/>
      <c r="AA29" s="31"/>
      <c r="AB29" s="31"/>
      <c r="AC29" s="31"/>
      <c r="AD29" s="31"/>
      <c r="AE29" s="31"/>
      <c r="AF29" s="31"/>
      <c r="AG29" s="32"/>
    </row>
    <row r="30" spans="1:33" s="33" customFormat="1" x14ac:dyDescent="0.3">
      <c r="A30" s="64" t="s">
        <v>37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/>
      <c r="K30" s="65"/>
      <c r="L30" s="65"/>
      <c r="M30" s="65"/>
      <c r="N30" s="66">
        <f>SUM(B30:M30)</f>
        <v>0</v>
      </c>
      <c r="O30" s="65">
        <f>+S30</f>
        <v>0</v>
      </c>
      <c r="P30" s="67">
        <f t="shared" si="9"/>
        <v>0</v>
      </c>
      <c r="Q30" s="68">
        <v>1</v>
      </c>
      <c r="R30" s="47"/>
      <c r="S30" s="42"/>
      <c r="T30" s="3"/>
      <c r="U30" s="3"/>
      <c r="V30" s="59"/>
      <c r="W30" s="59"/>
      <c r="X30" s="31"/>
      <c r="Y30" s="31"/>
      <c r="Z30" s="31"/>
      <c r="AA30" s="31"/>
      <c r="AB30" s="31"/>
      <c r="AC30" s="31"/>
      <c r="AD30" s="31"/>
      <c r="AE30" s="31"/>
      <c r="AF30" s="31"/>
      <c r="AG30" s="32"/>
    </row>
    <row r="31" spans="1:33" s="33" customFormat="1" x14ac:dyDescent="0.3">
      <c r="A31" s="64" t="s">
        <v>38</v>
      </c>
      <c r="B31" s="65">
        <v>79272.33</v>
      </c>
      <c r="C31" s="65">
        <v>64254.239999999998</v>
      </c>
      <c r="D31" s="65">
        <v>74770.38</v>
      </c>
      <c r="E31" s="65">
        <v>90313.18</v>
      </c>
      <c r="F31" s="65">
        <v>125754.3</v>
      </c>
      <c r="G31" s="65">
        <v>128674.26</v>
      </c>
      <c r="H31" s="65">
        <v>172397.26</v>
      </c>
      <c r="I31" s="65">
        <v>199474.76</v>
      </c>
      <c r="J31" s="65">
        <v>119627.92</v>
      </c>
      <c r="K31" s="65">
        <v>121621.75999999999</v>
      </c>
      <c r="L31" s="65">
        <f>257522.33+30</f>
        <v>257552.33</v>
      </c>
      <c r="M31" s="65">
        <v>368007.07</v>
      </c>
      <c r="N31" s="66">
        <f t="shared" si="4"/>
        <v>1801719.79</v>
      </c>
      <c r="O31" s="65">
        <f>+S31</f>
        <v>0</v>
      </c>
      <c r="P31" s="67">
        <f t="shared" si="9"/>
        <v>1801719.79</v>
      </c>
      <c r="Q31" s="68">
        <v>1</v>
      </c>
      <c r="R31" s="47"/>
      <c r="S31" s="42"/>
      <c r="T31" s="3"/>
      <c r="U31" s="3"/>
      <c r="V31" s="210"/>
      <c r="W31" s="210"/>
      <c r="X31" s="31"/>
      <c r="Y31" s="31"/>
      <c r="Z31" s="31"/>
      <c r="AA31" s="31"/>
      <c r="AB31" s="31"/>
      <c r="AC31" s="31"/>
      <c r="AD31" s="31"/>
      <c r="AE31" s="31"/>
      <c r="AF31" s="31"/>
      <c r="AG31" s="32"/>
    </row>
    <row r="32" spans="1:33" s="75" customFormat="1" ht="13.2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  <c r="O32" s="70"/>
      <c r="P32" s="72"/>
      <c r="Q32" s="73"/>
      <c r="R32" s="1"/>
      <c r="S32" s="42"/>
      <c r="T32" s="48"/>
      <c r="U32" s="48"/>
      <c r="V32" s="211"/>
      <c r="W32" s="211"/>
      <c r="X32" s="4"/>
      <c r="Y32" s="4"/>
      <c r="Z32" s="4"/>
      <c r="AA32" s="4"/>
      <c r="AB32" s="4"/>
      <c r="AC32" s="4"/>
      <c r="AD32" s="4"/>
      <c r="AE32" s="4"/>
      <c r="AF32" s="4"/>
      <c r="AG32" s="74"/>
    </row>
    <row r="33" spans="1:33" s="54" customFormat="1" x14ac:dyDescent="0.3">
      <c r="A33" s="76" t="s">
        <v>39</v>
      </c>
      <c r="B33" s="50">
        <f>+B12-B22-B30-B31</f>
        <v>407974.81</v>
      </c>
      <c r="C33" s="50">
        <f>+C12-C22-C30-C31</f>
        <v>117739.06000000006</v>
      </c>
      <c r="D33" s="50">
        <f t="shared" ref="D33:N33" si="10">+D12-D22-D30-D31</f>
        <v>292605.44999999995</v>
      </c>
      <c r="E33" s="50">
        <f t="shared" si="10"/>
        <v>-124066.96999999991</v>
      </c>
      <c r="F33" s="50">
        <f>+F12-F22-F30-F31</f>
        <v>-114076.12000000007</v>
      </c>
      <c r="G33" s="50">
        <f t="shared" si="10"/>
        <v>70422.959999999977</v>
      </c>
      <c r="H33" s="50">
        <f t="shared" si="10"/>
        <v>32392.95000000007</v>
      </c>
      <c r="I33" s="50">
        <f t="shared" si="10"/>
        <v>156874.59000000008</v>
      </c>
      <c r="J33" s="50">
        <f t="shared" si="10"/>
        <v>-38810.559999999954</v>
      </c>
      <c r="K33" s="50">
        <f>+K12-K22-K30-K31</f>
        <v>-115893.46999999996</v>
      </c>
      <c r="L33" s="50">
        <f t="shared" si="10"/>
        <v>80779.110000000073</v>
      </c>
      <c r="M33" s="50">
        <f t="shared" si="10"/>
        <v>296629.27999999997</v>
      </c>
      <c r="N33" s="50">
        <f t="shared" si="10"/>
        <v>697382.17999999877</v>
      </c>
      <c r="O33" s="50">
        <f>+O12-O22-O31</f>
        <v>2048152.3099999996</v>
      </c>
      <c r="P33" s="50">
        <f>+N33-O33</f>
        <v>-1350770.1300000008</v>
      </c>
      <c r="Q33" s="77">
        <f t="shared" si="2"/>
        <v>-0.65950667994998924</v>
      </c>
      <c r="R33" s="1"/>
      <c r="S33" s="2"/>
      <c r="T33" s="48"/>
      <c r="U33" s="48"/>
      <c r="V33" s="211"/>
      <c r="W33" s="211"/>
      <c r="X33" s="5"/>
      <c r="Y33" s="5"/>
      <c r="Z33" s="5"/>
      <c r="AA33" s="5"/>
      <c r="AB33" s="5"/>
      <c r="AC33" s="5"/>
      <c r="AD33" s="5"/>
      <c r="AE33" s="5"/>
      <c r="AF33" s="5"/>
      <c r="AG33" s="53"/>
    </row>
    <row r="34" spans="1:33" s="84" customFormat="1" x14ac:dyDescent="0.3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79"/>
      <c r="P34" s="81"/>
      <c r="Q34" s="82"/>
      <c r="R34" s="83"/>
      <c r="S34" s="42"/>
      <c r="T34" s="48"/>
      <c r="V34" s="211"/>
      <c r="W34" s="211"/>
      <c r="X34" s="85"/>
      <c r="Y34" s="85"/>
      <c r="Z34" s="85"/>
      <c r="AA34" s="85"/>
      <c r="AB34" s="85"/>
      <c r="AC34" s="85"/>
      <c r="AD34" s="85"/>
      <c r="AE34" s="85"/>
      <c r="AF34" s="85"/>
      <c r="AG34" s="86"/>
    </row>
    <row r="35" spans="1:33" s="33" customFormat="1" x14ac:dyDescent="0.3">
      <c r="A35" t="s">
        <v>40</v>
      </c>
      <c r="B35"/>
      <c r="C35" s="62"/>
      <c r="D35" s="202"/>
      <c r="E35" s="62"/>
      <c r="F35" s="62"/>
      <c r="G35" s="62"/>
      <c r="H35" s="62"/>
      <c r="I35" s="62"/>
      <c r="J35" s="62"/>
      <c r="K35" s="62"/>
      <c r="L35" s="62"/>
      <c r="M35" s="62"/>
      <c r="N35" s="58">
        <f t="shared" si="4"/>
        <v>0</v>
      </c>
      <c r="O35" s="87">
        <v>2242698.16</v>
      </c>
      <c r="P35" s="26">
        <f>+N35-O35</f>
        <v>-2242698.16</v>
      </c>
      <c r="Q35" s="29">
        <f>+N35/O35-1</f>
        <v>-1</v>
      </c>
      <c r="R35" s="47"/>
      <c r="T35" s="88"/>
      <c r="V35" s="210"/>
      <c r="W35" s="210"/>
      <c r="X35" s="31"/>
      <c r="Y35" s="31"/>
      <c r="Z35" s="31"/>
      <c r="AA35" s="31"/>
      <c r="AB35" s="31"/>
      <c r="AC35" s="31"/>
      <c r="AD35" s="31"/>
      <c r="AE35" s="31"/>
      <c r="AF35" s="31"/>
      <c r="AG35" s="32"/>
    </row>
    <row r="36" spans="1:33" s="54" customFormat="1" x14ac:dyDescent="0.3">
      <c r="A36" s="76" t="s">
        <v>41</v>
      </c>
      <c r="B36" s="50">
        <f>+B12-B22-B31-B35</f>
        <v>407974.81</v>
      </c>
      <c r="C36" s="50">
        <f t="shared" ref="C36:N36" si="11">+C12-C22-C31-C35</f>
        <v>117739.06000000006</v>
      </c>
      <c r="D36" s="50">
        <f t="shared" si="11"/>
        <v>292605.44999999995</v>
      </c>
      <c r="E36" s="50">
        <f t="shared" si="11"/>
        <v>-124066.96999999991</v>
      </c>
      <c r="F36" s="50">
        <f>+F12-F22-F30-F31-F35</f>
        <v>-114076.12000000007</v>
      </c>
      <c r="G36" s="50">
        <f t="shared" si="11"/>
        <v>70422.959999999977</v>
      </c>
      <c r="H36" s="50">
        <f t="shared" si="11"/>
        <v>32392.95000000007</v>
      </c>
      <c r="I36" s="50">
        <f t="shared" si="11"/>
        <v>156874.59000000008</v>
      </c>
      <c r="J36" s="50">
        <f>+J12-J22-J31-J35</f>
        <v>-38810.559999999954</v>
      </c>
      <c r="K36" s="50">
        <f>+K12-K22-K31-K35</f>
        <v>-115893.46999999996</v>
      </c>
      <c r="L36" s="50">
        <f t="shared" si="11"/>
        <v>80779.110000000073</v>
      </c>
      <c r="M36" s="50">
        <f t="shared" si="11"/>
        <v>296629.27999999997</v>
      </c>
      <c r="N36" s="50">
        <f t="shared" si="11"/>
        <v>697382.17999999877</v>
      </c>
      <c r="O36" s="50">
        <f>+O12-O22-O35</f>
        <v>-194545.85000000056</v>
      </c>
      <c r="P36" s="50">
        <f>+P12-P22-P35</f>
        <v>3044284.2499999991</v>
      </c>
      <c r="Q36" s="77">
        <f t="shared" si="2"/>
        <v>-4.5846674704189105</v>
      </c>
      <c r="R36" s="1"/>
      <c r="S36" s="89"/>
      <c r="T36" s="3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3"/>
    </row>
    <row r="37" spans="1:33" s="33" customFormat="1" x14ac:dyDescent="0.3">
      <c r="A37" s="90" t="s">
        <v>42</v>
      </c>
      <c r="B37" s="87">
        <v>0</v>
      </c>
      <c r="C37" s="87">
        <v>0</v>
      </c>
      <c r="D37" s="87">
        <v>0</v>
      </c>
      <c r="E37" s="87">
        <v>0</v>
      </c>
      <c r="F37" s="91">
        <v>0</v>
      </c>
      <c r="G37" s="87">
        <v>0</v>
      </c>
      <c r="H37" s="87">
        <v>0</v>
      </c>
      <c r="I37" s="87"/>
      <c r="J37" s="87">
        <v>0</v>
      </c>
      <c r="K37" s="87"/>
      <c r="L37" s="87"/>
      <c r="M37" s="87"/>
      <c r="N37" s="36">
        <f t="shared" si="4"/>
        <v>0</v>
      </c>
      <c r="O37" s="92">
        <v>0</v>
      </c>
      <c r="P37" s="93">
        <f>+N37-O37</f>
        <v>0</v>
      </c>
      <c r="Q37" s="94">
        <v>0</v>
      </c>
      <c r="R37" s="47"/>
      <c r="S37" s="89"/>
      <c r="T37" s="88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</row>
    <row r="38" spans="1:33" x14ac:dyDescent="0.3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7"/>
      <c r="O38" s="96"/>
      <c r="P38" s="98"/>
      <c r="Q38" s="99"/>
    </row>
    <row r="39" spans="1:33" s="104" customFormat="1" x14ac:dyDescent="0.3">
      <c r="A39" s="209" t="s">
        <v>43</v>
      </c>
      <c r="B39" s="100">
        <f>SUM(B40:B42)</f>
        <v>192</v>
      </c>
      <c r="C39" s="100">
        <f t="shared" ref="C39:Q39" si="12">SUM(C40:C42)</f>
        <v>373</v>
      </c>
      <c r="D39" s="100">
        <f t="shared" si="12"/>
        <v>192</v>
      </c>
      <c r="E39" s="100">
        <f t="shared" si="12"/>
        <v>154</v>
      </c>
      <c r="F39" s="100">
        <f t="shared" si="12"/>
        <v>198</v>
      </c>
      <c r="G39" s="100">
        <f t="shared" si="12"/>
        <v>368</v>
      </c>
      <c r="H39" s="100">
        <f t="shared" si="12"/>
        <v>198</v>
      </c>
      <c r="I39" s="100">
        <f t="shared" si="12"/>
        <v>458</v>
      </c>
      <c r="J39" s="100">
        <f t="shared" si="12"/>
        <v>198</v>
      </c>
      <c r="K39" s="100">
        <f t="shared" si="12"/>
        <v>322</v>
      </c>
      <c r="L39" s="100">
        <f t="shared" si="12"/>
        <v>236</v>
      </c>
      <c r="M39" s="100">
        <f t="shared" si="12"/>
        <v>236</v>
      </c>
      <c r="N39" s="100">
        <f t="shared" si="12"/>
        <v>3125</v>
      </c>
      <c r="O39" s="100">
        <f t="shared" si="12"/>
        <v>0</v>
      </c>
      <c r="P39" s="100">
        <f t="shared" si="12"/>
        <v>0</v>
      </c>
      <c r="Q39" s="101">
        <f t="shared" si="12"/>
        <v>0</v>
      </c>
      <c r="R39" s="102"/>
      <c r="S39" s="2"/>
      <c r="T39" s="3"/>
      <c r="U39" s="4"/>
      <c r="V39" s="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103"/>
    </row>
    <row r="40" spans="1:33" s="109" customFormat="1" x14ac:dyDescent="0.3">
      <c r="A40" s="105" t="s">
        <v>44</v>
      </c>
      <c r="B40" s="106">
        <v>192</v>
      </c>
      <c r="C40" s="106">
        <v>373</v>
      </c>
      <c r="D40" s="106">
        <v>192</v>
      </c>
      <c r="E40" s="106">
        <v>154</v>
      </c>
      <c r="F40" s="106">
        <v>198</v>
      </c>
      <c r="G40" s="106">
        <v>368</v>
      </c>
      <c r="H40" s="106">
        <v>198</v>
      </c>
      <c r="I40" s="106">
        <v>458</v>
      </c>
      <c r="J40" s="213">
        <f>63+58+77</f>
        <v>198</v>
      </c>
      <c r="K40" s="106">
        <f>63+58+77+124</f>
        <v>322</v>
      </c>
      <c r="L40" s="106">
        <f>77+96+63</f>
        <v>236</v>
      </c>
      <c r="M40" s="106">
        <f>77+96+63</f>
        <v>236</v>
      </c>
      <c r="N40" s="107">
        <f>SUM(B40:M40)</f>
        <v>3125</v>
      </c>
      <c r="O40" s="108"/>
      <c r="P40" s="108"/>
      <c r="Q40" s="29"/>
      <c r="S40" s="89"/>
      <c r="T40" s="88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110"/>
    </row>
    <row r="41" spans="1:33" s="109" customFormat="1" ht="16.95" customHeight="1" x14ac:dyDescent="0.3">
      <c r="A41" s="105" t="s">
        <v>45</v>
      </c>
      <c r="B41" s="106"/>
      <c r="C41" s="106"/>
      <c r="D41" s="106"/>
      <c r="E41" s="111"/>
      <c r="F41" s="106"/>
      <c r="G41" s="106"/>
      <c r="H41" s="106"/>
      <c r="I41" s="203"/>
      <c r="J41" s="106"/>
      <c r="K41" s="193"/>
      <c r="L41" s="106"/>
      <c r="M41" s="106"/>
      <c r="N41" s="107"/>
      <c r="O41" s="108"/>
      <c r="P41" s="108"/>
      <c r="Q41" s="29"/>
      <c r="R41" s="112"/>
      <c r="S41" s="110"/>
    </row>
    <row r="42" spans="1:33" s="109" customFormat="1" x14ac:dyDescent="0.3">
      <c r="A42" s="105" t="s">
        <v>46</v>
      </c>
      <c r="B42" s="106"/>
      <c r="C42" s="106"/>
      <c r="D42" s="106"/>
      <c r="E42" s="106"/>
      <c r="F42" s="106"/>
      <c r="G42" s="106"/>
      <c r="H42" s="106"/>
      <c r="I42" s="203"/>
      <c r="J42" s="203"/>
      <c r="K42" s="106"/>
      <c r="L42" s="106"/>
      <c r="M42" s="106"/>
      <c r="N42" s="107">
        <f>SUM(B42:M42)</f>
        <v>0</v>
      </c>
      <c r="O42" s="108"/>
      <c r="P42" s="108"/>
      <c r="Q42" s="29"/>
      <c r="R42" s="112"/>
      <c r="S42" s="110"/>
    </row>
    <row r="43" spans="1:33" s="120" customFormat="1" x14ac:dyDescent="0.3">
      <c r="A43" s="113"/>
      <c r="B43" s="114"/>
      <c r="C43" s="115"/>
      <c r="D43" s="115"/>
      <c r="E43" s="115"/>
      <c r="F43" s="115"/>
      <c r="G43" s="115"/>
      <c r="H43" s="115"/>
      <c r="I43" s="115"/>
      <c r="J43" s="205"/>
      <c r="K43" s="115"/>
      <c r="L43" s="115"/>
      <c r="M43" s="115"/>
      <c r="N43" s="116"/>
      <c r="O43" s="117"/>
      <c r="P43" s="118"/>
      <c r="Q43" s="29"/>
      <c r="R43" s="30"/>
      <c r="S43" s="119"/>
    </row>
    <row r="44" spans="1:33" s="128" customFormat="1" ht="14.4" customHeight="1" x14ac:dyDescent="0.3">
      <c r="A44" s="121" t="s">
        <v>47</v>
      </c>
      <c r="B44" s="122"/>
      <c r="C44" s="122"/>
      <c r="D44" s="122"/>
      <c r="E44" s="123"/>
      <c r="F44" s="123"/>
      <c r="G44" s="123"/>
      <c r="H44" s="123"/>
      <c r="I44" s="123"/>
      <c r="J44" s="204"/>
      <c r="K44" s="123"/>
      <c r="L44" s="123"/>
      <c r="M44" s="123"/>
      <c r="N44" s="124">
        <f>SUM(B44:M44)</f>
        <v>0</v>
      </c>
      <c r="O44" s="125"/>
      <c r="P44" s="125"/>
      <c r="Q44" s="126"/>
      <c r="R44" s="112"/>
      <c r="S44" s="127"/>
    </row>
    <row r="45" spans="1:33" s="24" customFormat="1" x14ac:dyDescent="0.3">
      <c r="A45" s="129"/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2"/>
      <c r="O45" s="133"/>
      <c r="P45" s="134"/>
      <c r="Q45" s="135"/>
      <c r="R45" s="1"/>
      <c r="S45" s="23"/>
    </row>
    <row r="46" spans="1:33" s="104" customFormat="1" ht="16.2" x14ac:dyDescent="0.3">
      <c r="A46" s="136" t="s">
        <v>48</v>
      </c>
      <c r="B46" s="137">
        <f>SUM(B47:B51)</f>
        <v>98993</v>
      </c>
      <c r="C46" s="137">
        <f t="shared" ref="C46:M46" si="13">SUM(C47:C51)</f>
        <v>99439</v>
      </c>
      <c r="D46" s="137">
        <f t="shared" si="13"/>
        <v>103839</v>
      </c>
      <c r="E46" s="137">
        <f t="shared" si="13"/>
        <v>96939</v>
      </c>
      <c r="F46" s="137">
        <f t="shared" si="13"/>
        <v>108207</v>
      </c>
      <c r="G46" s="137">
        <f t="shared" si="13"/>
        <v>98978</v>
      </c>
      <c r="H46" s="137">
        <f t="shared" si="13"/>
        <v>122046</v>
      </c>
      <c r="I46" s="137">
        <f t="shared" si="13"/>
        <v>101446</v>
      </c>
      <c r="J46" s="137">
        <f t="shared" si="13"/>
        <v>108444</v>
      </c>
      <c r="K46" s="137">
        <f>SUM(K47:K51)</f>
        <v>110912</v>
      </c>
      <c r="L46" s="137">
        <f t="shared" si="13"/>
        <v>105928</v>
      </c>
      <c r="M46" s="137">
        <f t="shared" si="13"/>
        <v>112139</v>
      </c>
      <c r="N46" s="137">
        <f t="shared" ref="N46:N51" si="14">SUM(B46:M46)</f>
        <v>1267310</v>
      </c>
      <c r="O46" s="137"/>
      <c r="P46" s="137"/>
      <c r="Q46" s="51"/>
      <c r="R46" s="102"/>
      <c r="S46" s="5"/>
    </row>
    <row r="47" spans="1:33" s="109" customFormat="1" x14ac:dyDescent="0.3">
      <c r="A47" s="105" t="s">
        <v>49</v>
      </c>
      <c r="B47" s="106">
        <f>(33373+59400)</f>
        <v>92773</v>
      </c>
      <c r="C47" s="106">
        <f>(34166+59400)</f>
        <v>93566</v>
      </c>
      <c r="D47" s="106">
        <f>(38531+59400)</f>
        <v>97931</v>
      </c>
      <c r="E47" s="106">
        <f>(31725+59400)</f>
        <v>91125</v>
      </c>
      <c r="F47" s="106">
        <v>92170</v>
      </c>
      <c r="G47" s="106">
        <f>(33577+59160)</f>
        <v>92737</v>
      </c>
      <c r="H47" s="106">
        <f>(29551+59040)</f>
        <v>88591</v>
      </c>
      <c r="I47" s="106">
        <f>(31541+58530)</f>
        <v>90071</v>
      </c>
      <c r="J47" s="106">
        <f>(59580+29446)</f>
        <v>89026</v>
      </c>
      <c r="K47" s="106">
        <f>29144+59580</f>
        <v>88724</v>
      </c>
      <c r="L47" s="106">
        <f>31000+59640</f>
        <v>90640</v>
      </c>
      <c r="M47" s="106">
        <f>29726+59700</f>
        <v>89426</v>
      </c>
      <c r="N47" s="107">
        <f t="shared" si="14"/>
        <v>1096780</v>
      </c>
      <c r="O47" s="108"/>
      <c r="P47" s="108"/>
      <c r="Q47" s="29"/>
      <c r="R47" s="112"/>
      <c r="S47" s="5"/>
    </row>
    <row r="48" spans="1:33" s="109" customFormat="1" x14ac:dyDescent="0.3">
      <c r="A48" s="105" t="s">
        <v>50</v>
      </c>
      <c r="B48" s="106">
        <f>(2442+600)</f>
        <v>3042</v>
      </c>
      <c r="C48" s="106">
        <f>(2333+600)</f>
        <v>2933</v>
      </c>
      <c r="D48" s="106">
        <f>(2356+600)</f>
        <v>2956</v>
      </c>
      <c r="E48" s="106">
        <f>(2390+600)</f>
        <v>2990</v>
      </c>
      <c r="F48" s="106">
        <v>3237</v>
      </c>
      <c r="G48" s="106">
        <f>(2751+660)</f>
        <v>3411</v>
      </c>
      <c r="H48" s="106">
        <f>(2323+720)</f>
        <v>3043</v>
      </c>
      <c r="I48" s="106">
        <f>(2494+720)</f>
        <v>3214</v>
      </c>
      <c r="J48" s="106">
        <f>(2177+630)</f>
        <v>2807</v>
      </c>
      <c r="K48" s="106">
        <f>2264+630</f>
        <v>2894</v>
      </c>
      <c r="L48" s="106">
        <f>2253+630</f>
        <v>2883</v>
      </c>
      <c r="M48" s="106">
        <f>2185+660</f>
        <v>2845</v>
      </c>
      <c r="N48" s="107">
        <f t="shared" si="14"/>
        <v>36255</v>
      </c>
      <c r="O48" s="108"/>
      <c r="P48" s="108"/>
      <c r="Q48" s="29"/>
      <c r="R48" s="112"/>
      <c r="S48" s="5"/>
    </row>
    <row r="49" spans="1:33" s="109" customFormat="1" x14ac:dyDescent="0.3">
      <c r="A49" s="105" t="s">
        <v>51</v>
      </c>
      <c r="B49" s="106">
        <f>(192+270)</f>
        <v>462</v>
      </c>
      <c r="C49" s="106">
        <v>190</v>
      </c>
      <c r="D49" s="106">
        <v>182</v>
      </c>
      <c r="E49" s="106">
        <v>191</v>
      </c>
      <c r="F49" s="106">
        <v>187</v>
      </c>
      <c r="G49" s="106">
        <v>187</v>
      </c>
      <c r="H49" s="106">
        <v>189</v>
      </c>
      <c r="I49" s="106">
        <v>187</v>
      </c>
      <c r="J49" s="106">
        <v>188</v>
      </c>
      <c r="K49" s="106">
        <v>188</v>
      </c>
      <c r="L49" s="106">
        <v>188</v>
      </c>
      <c r="M49" s="106">
        <v>188</v>
      </c>
      <c r="N49" s="107">
        <f t="shared" si="14"/>
        <v>2527</v>
      </c>
      <c r="O49" s="108"/>
      <c r="P49" s="108"/>
      <c r="Q49" s="29"/>
      <c r="R49" s="112"/>
      <c r="S49" s="110"/>
    </row>
    <row r="50" spans="1:33" s="109" customFormat="1" ht="14.4" customHeight="1" x14ac:dyDescent="0.3">
      <c r="A50" s="105" t="s">
        <v>52</v>
      </c>
      <c r="B50" s="106">
        <f>(780+33)</f>
        <v>813</v>
      </c>
      <c r="C50" s="106">
        <f>(33+780)</f>
        <v>813</v>
      </c>
      <c r="D50" s="106">
        <f>(24+780)</f>
        <v>804</v>
      </c>
      <c r="E50" s="106">
        <f>(33+780)</f>
        <v>813</v>
      </c>
      <c r="F50" s="106">
        <v>809</v>
      </c>
      <c r="G50" s="106">
        <f>(64+780)</f>
        <v>844</v>
      </c>
      <c r="H50" s="106">
        <f>(10+780)</f>
        <v>790</v>
      </c>
      <c r="I50" s="106">
        <f>(6+780)</f>
        <v>786</v>
      </c>
      <c r="J50" s="106">
        <f>(25+780)</f>
        <v>805</v>
      </c>
      <c r="K50" s="106">
        <f>13+780</f>
        <v>793</v>
      </c>
      <c r="L50" s="106">
        <f>15+780</f>
        <v>795</v>
      </c>
      <c r="M50" s="106">
        <f>153+780</f>
        <v>933</v>
      </c>
      <c r="N50" s="107">
        <f t="shared" si="14"/>
        <v>9798</v>
      </c>
      <c r="O50" s="108"/>
      <c r="P50" s="108"/>
      <c r="Q50" s="29"/>
      <c r="R50" s="112"/>
      <c r="S50" s="110"/>
    </row>
    <row r="51" spans="1:33" s="109" customFormat="1" ht="14.4" customHeight="1" x14ac:dyDescent="0.3">
      <c r="A51" s="105" t="s">
        <v>53</v>
      </c>
      <c r="B51" s="106">
        <f>(1633+270)</f>
        <v>1903</v>
      </c>
      <c r="C51" s="106">
        <f>(1667+270)</f>
        <v>1937</v>
      </c>
      <c r="D51" s="106">
        <f>(1696+270)</f>
        <v>1966</v>
      </c>
      <c r="E51" s="106">
        <f>(1550+270)</f>
        <v>1820</v>
      </c>
      <c r="F51" s="106">
        <f>(270+11534)</f>
        <v>11804</v>
      </c>
      <c r="G51" s="106">
        <f>(1529+270)</f>
        <v>1799</v>
      </c>
      <c r="H51" s="106">
        <f>(29163+270)</f>
        <v>29433</v>
      </c>
      <c r="I51" s="106">
        <f>(6918+270)</f>
        <v>7188</v>
      </c>
      <c r="J51" s="106">
        <f>(15348+270)</f>
        <v>15618</v>
      </c>
      <c r="K51" s="106">
        <f>18043+270</f>
        <v>18313</v>
      </c>
      <c r="L51" s="106">
        <f>11152+270</f>
        <v>11422</v>
      </c>
      <c r="M51" s="106">
        <f>18477+270</f>
        <v>18747</v>
      </c>
      <c r="N51" s="107">
        <f t="shared" si="14"/>
        <v>121950</v>
      </c>
      <c r="O51" s="108"/>
      <c r="P51" s="108"/>
      <c r="Q51" s="29"/>
      <c r="R51" s="112"/>
      <c r="S51" s="110"/>
    </row>
    <row r="52" spans="1:33" s="143" customFormat="1" x14ac:dyDescent="0.3">
      <c r="A52" s="138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40"/>
      <c r="O52" s="141"/>
      <c r="P52" s="141"/>
      <c r="Q52" s="82"/>
      <c r="R52" s="102"/>
      <c r="S52" s="142"/>
    </row>
    <row r="53" spans="1:33" s="104" customFormat="1" ht="16.2" x14ac:dyDescent="0.3">
      <c r="A53" s="144" t="s">
        <v>54</v>
      </c>
      <c r="B53" s="137">
        <f>SUM(B54:B55)</f>
        <v>41968</v>
      </c>
      <c r="C53" s="137">
        <f t="shared" ref="C53:M53" si="15">SUM(C54:C55)</f>
        <v>42055</v>
      </c>
      <c r="D53" s="137">
        <f t="shared" si="15"/>
        <v>47065</v>
      </c>
      <c r="E53" s="137">
        <f t="shared" si="15"/>
        <v>36990</v>
      </c>
      <c r="F53" s="137">
        <f t="shared" si="15"/>
        <v>49106</v>
      </c>
      <c r="G53" s="137">
        <f>SUM(G54:G55)</f>
        <v>41876</v>
      </c>
      <c r="H53" s="137">
        <f t="shared" si="15"/>
        <v>40130</v>
      </c>
      <c r="I53" s="137">
        <f t="shared" si="15"/>
        <v>42911</v>
      </c>
      <c r="J53" s="137">
        <f t="shared" si="15"/>
        <v>48063</v>
      </c>
      <c r="K53" s="137">
        <f t="shared" si="15"/>
        <v>33723</v>
      </c>
      <c r="L53" s="137">
        <f t="shared" si="15"/>
        <v>65103</v>
      </c>
      <c r="M53" s="137">
        <f t="shared" si="15"/>
        <v>66148</v>
      </c>
      <c r="N53" s="137">
        <f>SUM(B53:M53)</f>
        <v>555138</v>
      </c>
      <c r="O53" s="137"/>
      <c r="P53" s="137"/>
      <c r="Q53" s="51"/>
      <c r="R53" s="102"/>
      <c r="S53" s="103"/>
    </row>
    <row r="54" spans="1:33" s="109" customFormat="1" x14ac:dyDescent="0.3">
      <c r="A54" s="105" t="s">
        <v>55</v>
      </c>
      <c r="B54" s="106">
        <v>36210</v>
      </c>
      <c r="C54" s="106">
        <v>36373</v>
      </c>
      <c r="D54" s="106">
        <v>41990</v>
      </c>
      <c r="E54" s="106">
        <v>33460</v>
      </c>
      <c r="F54" s="106">
        <v>45754</v>
      </c>
      <c r="G54" s="106">
        <v>39100</v>
      </c>
      <c r="H54" s="106">
        <v>36443</v>
      </c>
      <c r="I54" s="106">
        <v>38201</v>
      </c>
      <c r="J54" s="106">
        <v>46155</v>
      </c>
      <c r="K54" s="106">
        <v>31559</v>
      </c>
      <c r="L54" s="106">
        <v>54376</v>
      </c>
      <c r="M54" s="106">
        <v>57280</v>
      </c>
      <c r="N54" s="107">
        <f>SUM(B54:M54)</f>
        <v>496901</v>
      </c>
      <c r="O54" s="108"/>
      <c r="P54" s="108"/>
      <c r="Q54" s="29"/>
      <c r="R54" s="112"/>
      <c r="S54" s="110"/>
    </row>
    <row r="55" spans="1:33" s="109" customFormat="1" x14ac:dyDescent="0.3">
      <c r="A55" s="105" t="s">
        <v>56</v>
      </c>
      <c r="B55" s="106">
        <v>5758</v>
      </c>
      <c r="C55" s="106">
        <v>5682</v>
      </c>
      <c r="D55" s="106">
        <v>5075</v>
      </c>
      <c r="E55" s="106">
        <v>3530</v>
      </c>
      <c r="F55" s="106">
        <v>3352</v>
      </c>
      <c r="G55" s="106">
        <v>2776</v>
      </c>
      <c r="H55" s="106">
        <v>3687</v>
      </c>
      <c r="I55" s="106">
        <v>4710</v>
      </c>
      <c r="J55" s="106">
        <v>1908</v>
      </c>
      <c r="K55" s="106">
        <v>2164</v>
      </c>
      <c r="L55" s="106">
        <v>10727</v>
      </c>
      <c r="M55" s="106">
        <v>8868</v>
      </c>
      <c r="N55" s="107">
        <f>SUM(B55:M55)</f>
        <v>58237</v>
      </c>
      <c r="O55" s="108"/>
      <c r="P55" s="108"/>
      <c r="Q55" s="29"/>
      <c r="R55" s="112"/>
      <c r="S55" s="110"/>
    </row>
    <row r="56" spans="1:33" s="151" customFormat="1" x14ac:dyDescent="0.3">
      <c r="A56" s="113"/>
      <c r="B56" s="145"/>
      <c r="C56" s="146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16"/>
      <c r="O56" s="148"/>
      <c r="P56" s="148"/>
      <c r="Q56" s="149"/>
      <c r="R56" s="30"/>
      <c r="S56" s="150"/>
    </row>
    <row r="57" spans="1:33" s="109" customFormat="1" x14ac:dyDescent="0.3">
      <c r="A57" s="207" t="s">
        <v>124</v>
      </c>
      <c r="B57" s="152"/>
      <c r="C57" s="152"/>
      <c r="D57" s="152"/>
      <c r="E57" s="152"/>
      <c r="F57" s="106"/>
      <c r="G57" s="106"/>
      <c r="H57" s="106"/>
      <c r="I57" s="106"/>
      <c r="J57" s="106"/>
      <c r="K57" s="106"/>
      <c r="L57" s="106"/>
      <c r="M57" s="106"/>
      <c r="N57" s="107">
        <f>SUM(B57:M57)</f>
        <v>0</v>
      </c>
      <c r="O57" s="108"/>
      <c r="P57" s="108"/>
      <c r="Q57" s="29"/>
      <c r="R57" s="112"/>
      <c r="S57" s="110"/>
    </row>
    <row r="58" spans="1:33" s="109" customFormat="1" x14ac:dyDescent="0.3">
      <c r="A58" s="208" t="s">
        <v>125</v>
      </c>
      <c r="B58" s="152">
        <v>109694</v>
      </c>
      <c r="C58" s="152">
        <v>110369</v>
      </c>
      <c r="D58" s="152">
        <v>111054</v>
      </c>
      <c r="E58" s="152">
        <v>111729</v>
      </c>
      <c r="F58" s="152">
        <v>112414</v>
      </c>
      <c r="G58" s="152">
        <v>112599</v>
      </c>
      <c r="H58" s="152">
        <v>112764</v>
      </c>
      <c r="I58" s="152">
        <v>112929</v>
      </c>
      <c r="J58" s="152">
        <v>113094</v>
      </c>
      <c r="K58" s="106">
        <f>113094+100</f>
        <v>113194</v>
      </c>
      <c r="L58" s="106">
        <f>113194+100</f>
        <v>113294</v>
      </c>
      <c r="M58" s="106">
        <f>L58+675</f>
        <v>113969</v>
      </c>
      <c r="N58" s="107">
        <f>SUM(B58:M58)</f>
        <v>1347103</v>
      </c>
      <c r="O58" s="108"/>
      <c r="P58" s="108"/>
      <c r="Q58" s="29"/>
      <c r="R58" s="112"/>
      <c r="S58" s="110"/>
    </row>
    <row r="59" spans="1:33" s="24" customFormat="1" x14ac:dyDescent="0.3">
      <c r="A59" s="153"/>
      <c r="B59" s="154"/>
      <c r="C59" s="155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2"/>
      <c r="O59" s="133"/>
      <c r="P59" s="133"/>
      <c r="Q59" s="135"/>
      <c r="R59" s="1"/>
      <c r="S59" s="23"/>
    </row>
    <row r="60" spans="1:33" s="104" customFormat="1" x14ac:dyDescent="0.3">
      <c r="A60" s="136" t="s">
        <v>57</v>
      </c>
      <c r="B60" s="137">
        <f>SUM(B61:B65)</f>
        <v>1150671.08</v>
      </c>
      <c r="C60" s="137">
        <f t="shared" ref="C60:M60" si="16">SUM(C61:C65)</f>
        <v>1157496.25</v>
      </c>
      <c r="D60" s="137">
        <f t="shared" si="16"/>
        <v>1318674.4700000002</v>
      </c>
      <c r="E60" s="137">
        <f t="shared" si="16"/>
        <v>1121384.0299999998</v>
      </c>
      <c r="F60" s="137">
        <f t="shared" si="16"/>
        <v>1165197.57</v>
      </c>
      <c r="G60" s="137">
        <f t="shared" si="16"/>
        <v>1208518.3600000001</v>
      </c>
      <c r="H60" s="137">
        <f t="shared" si="16"/>
        <v>1157334.78</v>
      </c>
      <c r="I60" s="137">
        <f t="shared" si="16"/>
        <v>1176018.7899999998</v>
      </c>
      <c r="J60" s="137">
        <f t="shared" si="16"/>
        <v>1166765.4699999997</v>
      </c>
      <c r="K60" s="137">
        <f t="shared" si="16"/>
        <v>1171153.5500000003</v>
      </c>
      <c r="L60" s="137">
        <f t="shared" si="16"/>
        <v>1182017.8899999999</v>
      </c>
      <c r="M60" s="137">
        <f t="shared" si="16"/>
        <v>1193636.08</v>
      </c>
      <c r="N60" s="137">
        <f t="shared" ref="N60:N65" si="17">SUM(B60:M60)</f>
        <v>14168868.320000002</v>
      </c>
      <c r="O60" s="137"/>
      <c r="P60" s="137"/>
      <c r="Q60" s="51"/>
      <c r="R60" s="102"/>
      <c r="S60" s="103"/>
    </row>
    <row r="61" spans="1:33" s="109" customFormat="1" x14ac:dyDescent="0.3">
      <c r="A61" s="105" t="s">
        <v>49</v>
      </c>
      <c r="B61" s="106">
        <v>1075446.6000000001</v>
      </c>
      <c r="C61" s="106">
        <v>1086848.56</v>
      </c>
      <c r="D61" s="106">
        <v>1248531.79</v>
      </c>
      <c r="E61" s="106">
        <v>1046039.32</v>
      </c>
      <c r="F61" s="106">
        <v>1065580.58</v>
      </c>
      <c r="G61" s="106">
        <v>1117417.6200000001</v>
      </c>
      <c r="H61" s="106">
        <v>1048619.0900000001</v>
      </c>
      <c r="I61" s="106">
        <v>1086841.97</v>
      </c>
      <c r="J61" s="106">
        <v>1070858.4099999999</v>
      </c>
      <c r="K61" s="106">
        <v>1074865.83</v>
      </c>
      <c r="L61" s="106">
        <v>1096630.8899999999</v>
      </c>
      <c r="M61" s="106">
        <v>1093427.9099999999</v>
      </c>
      <c r="N61" s="107">
        <f t="shared" si="17"/>
        <v>13111108.570000002</v>
      </c>
      <c r="O61" s="108"/>
      <c r="P61" s="108"/>
      <c r="Q61" s="29"/>
      <c r="R61" s="112"/>
      <c r="S61" s="110"/>
    </row>
    <row r="62" spans="1:33" s="109" customFormat="1" x14ac:dyDescent="0.3">
      <c r="A62" s="105" t="s">
        <v>50</v>
      </c>
      <c r="B62" s="106">
        <v>64442.02</v>
      </c>
      <c r="C62" s="106">
        <v>59800.01</v>
      </c>
      <c r="D62" s="106">
        <v>59512.35</v>
      </c>
      <c r="E62" s="106">
        <v>64458.13</v>
      </c>
      <c r="F62" s="106">
        <v>68368.98</v>
      </c>
      <c r="G62" s="106">
        <v>80238.3</v>
      </c>
      <c r="H62" s="106">
        <v>64620.04</v>
      </c>
      <c r="I62" s="106">
        <v>71707.41</v>
      </c>
      <c r="J62" s="106">
        <v>68104.98</v>
      </c>
      <c r="K62" s="106">
        <v>65172.6</v>
      </c>
      <c r="L62" s="106">
        <v>62423.72</v>
      </c>
      <c r="M62" s="106">
        <v>67938.850000000006</v>
      </c>
      <c r="N62" s="107">
        <f t="shared" si="17"/>
        <v>796787.3899999999</v>
      </c>
      <c r="O62" s="108"/>
      <c r="P62" s="108"/>
      <c r="Q62" s="29"/>
      <c r="R62" s="112"/>
      <c r="S62" s="89"/>
      <c r="T62" s="88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110"/>
    </row>
    <row r="63" spans="1:33" s="109" customFormat="1" x14ac:dyDescent="0.3">
      <c r="A63" s="105" t="s">
        <v>51</v>
      </c>
      <c r="B63" s="106">
        <v>6972.69</v>
      </c>
      <c r="C63" s="106">
        <v>6943.65</v>
      </c>
      <c r="D63" s="106">
        <v>6700.55</v>
      </c>
      <c r="E63" s="106">
        <v>7065.23</v>
      </c>
      <c r="F63" s="106">
        <v>15609.71</v>
      </c>
      <c r="G63" s="106">
        <v>7004.23</v>
      </c>
      <c r="H63" s="106">
        <v>7119.33</v>
      </c>
      <c r="I63" s="106">
        <v>7087.82</v>
      </c>
      <c r="J63" s="106">
        <v>7168</v>
      </c>
      <c r="K63" s="106">
        <v>7210.82</v>
      </c>
      <c r="L63" s="106">
        <v>7253.83</v>
      </c>
      <c r="M63" s="106">
        <v>7296.02</v>
      </c>
      <c r="N63" s="107">
        <f t="shared" si="17"/>
        <v>93431.88</v>
      </c>
      <c r="O63" s="108"/>
      <c r="P63" s="108"/>
      <c r="Q63" s="29"/>
      <c r="R63" s="112"/>
      <c r="S63" s="89"/>
      <c r="T63" s="88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110"/>
    </row>
    <row r="64" spans="1:33" s="109" customFormat="1" x14ac:dyDescent="0.3">
      <c r="A64" s="105" t="s">
        <v>52</v>
      </c>
      <c r="B64" s="106">
        <v>10.039999999999999</v>
      </c>
      <c r="C64" s="106">
        <v>30.27</v>
      </c>
      <c r="D64" s="106">
        <v>27.27</v>
      </c>
      <c r="E64" s="106">
        <v>30.93</v>
      </c>
      <c r="F64" s="106">
        <v>28.59</v>
      </c>
      <c r="G64" s="106">
        <v>53.41</v>
      </c>
      <c r="H64" s="106">
        <v>22.14</v>
      </c>
      <c r="I64" s="106">
        <v>21.64</v>
      </c>
      <c r="J64" s="106">
        <v>26.63</v>
      </c>
      <c r="K64" s="106">
        <v>22.98</v>
      </c>
      <c r="L64" s="106">
        <v>23.41</v>
      </c>
      <c r="M64" s="106">
        <v>189</v>
      </c>
      <c r="N64" s="107">
        <f t="shared" si="17"/>
        <v>486.31</v>
      </c>
      <c r="O64" s="108"/>
      <c r="P64" s="108"/>
      <c r="Q64" s="29"/>
      <c r="R64" s="112"/>
      <c r="S64" s="89"/>
      <c r="T64" s="88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110"/>
    </row>
    <row r="65" spans="1:33" s="109" customFormat="1" x14ac:dyDescent="0.3">
      <c r="A65" s="105" t="s">
        <v>53</v>
      </c>
      <c r="B65" s="106">
        <v>3799.73</v>
      </c>
      <c r="C65" s="106">
        <v>3873.76</v>
      </c>
      <c r="D65" s="106">
        <v>3902.51</v>
      </c>
      <c r="E65" s="106">
        <v>3790.42</v>
      </c>
      <c r="F65" s="106">
        <v>15609.71</v>
      </c>
      <c r="G65" s="106">
        <v>3804.8</v>
      </c>
      <c r="H65" s="106">
        <v>36954.18</v>
      </c>
      <c r="I65" s="106">
        <v>10359.950000000001</v>
      </c>
      <c r="J65" s="106">
        <v>20607.45</v>
      </c>
      <c r="K65" s="106">
        <v>23881.32</v>
      </c>
      <c r="L65" s="106">
        <v>15686.04</v>
      </c>
      <c r="M65" s="106">
        <v>24784.3</v>
      </c>
      <c r="N65" s="107">
        <f t="shared" si="17"/>
        <v>167054.16999999998</v>
      </c>
      <c r="O65" s="108"/>
      <c r="P65" s="108"/>
      <c r="Q65" s="29"/>
      <c r="R65" s="112"/>
      <c r="S65" s="89"/>
      <c r="T65" s="88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110"/>
    </row>
    <row r="66" spans="1:33" s="120" customFormat="1" x14ac:dyDescent="0.3">
      <c r="A66" s="113"/>
      <c r="B66" s="14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6"/>
      <c r="O66" s="117"/>
      <c r="P66" s="117"/>
      <c r="Q66" s="29"/>
      <c r="R66" s="30"/>
      <c r="S66" s="89"/>
      <c r="T66" s="88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119"/>
    </row>
    <row r="67" spans="1:33" s="109" customFormat="1" x14ac:dyDescent="0.3">
      <c r="A67" s="156" t="s">
        <v>58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07"/>
      <c r="O67" s="108"/>
      <c r="P67" s="108"/>
      <c r="Q67" s="29"/>
      <c r="R67" s="112"/>
      <c r="S67" s="89"/>
      <c r="T67" s="88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110"/>
    </row>
    <row r="68" spans="1:33" s="143" customFormat="1" x14ac:dyDescent="0.3">
      <c r="A68" s="136" t="s">
        <v>59</v>
      </c>
      <c r="B68" s="137">
        <f>+B69+B75</f>
        <v>6285</v>
      </c>
      <c r="C68" s="137">
        <f t="shared" ref="C68:N68" si="18">+C69+C75</f>
        <v>6285</v>
      </c>
      <c r="D68" s="137">
        <f t="shared" si="18"/>
        <v>6285</v>
      </c>
      <c r="E68" s="137">
        <f t="shared" si="18"/>
        <v>6285</v>
      </c>
      <c r="F68" s="137">
        <f t="shared" si="18"/>
        <v>6285</v>
      </c>
      <c r="G68" s="137">
        <f t="shared" si="18"/>
        <v>6281</v>
      </c>
      <c r="H68" s="137">
        <f t="shared" si="18"/>
        <v>6303</v>
      </c>
      <c r="I68" s="137">
        <f t="shared" si="18"/>
        <v>6318</v>
      </c>
      <c r="J68" s="137">
        <f t="shared" si="18"/>
        <v>6346</v>
      </c>
      <c r="K68" s="137">
        <f t="shared" si="18"/>
        <v>6346</v>
      </c>
      <c r="L68" s="137">
        <f t="shared" si="18"/>
        <v>6352</v>
      </c>
      <c r="M68" s="137">
        <f t="shared" si="18"/>
        <v>6369</v>
      </c>
      <c r="N68" s="137">
        <f t="shared" si="18"/>
        <v>6369</v>
      </c>
      <c r="O68" s="158"/>
      <c r="P68" s="158"/>
      <c r="Q68" s="159"/>
      <c r="R68" s="102"/>
      <c r="S68" s="2"/>
      <c r="T68" s="3"/>
      <c r="U68" s="4"/>
      <c r="V68" s="4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142"/>
    </row>
    <row r="69" spans="1:33" s="109" customFormat="1" x14ac:dyDescent="0.3">
      <c r="A69" s="105" t="s">
        <v>60</v>
      </c>
      <c r="B69" s="160">
        <f>SUM(B70:B74)</f>
        <v>3328</v>
      </c>
      <c r="C69" s="160">
        <f t="shared" ref="C69:N69" si="19">SUM(C70:C74)</f>
        <v>3328</v>
      </c>
      <c r="D69" s="160">
        <f t="shared" si="19"/>
        <v>3328</v>
      </c>
      <c r="E69" s="160">
        <f t="shared" si="19"/>
        <v>3328</v>
      </c>
      <c r="F69" s="160">
        <f t="shared" si="19"/>
        <v>3328</v>
      </c>
      <c r="G69" s="160">
        <f t="shared" si="19"/>
        <v>3331</v>
      </c>
      <c r="H69" s="160">
        <f t="shared" si="19"/>
        <v>3358</v>
      </c>
      <c r="I69" s="160">
        <f t="shared" si="19"/>
        <v>3391</v>
      </c>
      <c r="J69" s="160">
        <f t="shared" si="19"/>
        <v>3425</v>
      </c>
      <c r="K69" s="160">
        <f t="shared" si="19"/>
        <v>3425</v>
      </c>
      <c r="L69" s="160">
        <f t="shared" si="19"/>
        <v>3429</v>
      </c>
      <c r="M69" s="160">
        <f t="shared" si="19"/>
        <v>3443</v>
      </c>
      <c r="N69" s="160">
        <f t="shared" si="19"/>
        <v>3443</v>
      </c>
      <c r="O69" s="108"/>
      <c r="P69" s="108"/>
      <c r="Q69" s="29"/>
      <c r="R69" s="112"/>
      <c r="S69" s="89"/>
      <c r="T69" s="88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110"/>
    </row>
    <row r="70" spans="1:33" s="109" customFormat="1" x14ac:dyDescent="0.3">
      <c r="A70" s="161" t="s">
        <v>61</v>
      </c>
      <c r="B70" s="106">
        <v>3185</v>
      </c>
      <c r="C70" s="106">
        <v>3185</v>
      </c>
      <c r="D70" s="106">
        <v>3185</v>
      </c>
      <c r="E70" s="106">
        <v>3185</v>
      </c>
      <c r="F70" s="106">
        <v>3185</v>
      </c>
      <c r="G70" s="106">
        <v>3180</v>
      </c>
      <c r="H70" s="106">
        <v>3205</v>
      </c>
      <c r="I70" s="106">
        <v>3238</v>
      </c>
      <c r="J70" s="106">
        <v>3274</v>
      </c>
      <c r="K70" s="106">
        <v>3274</v>
      </c>
      <c r="L70" s="106">
        <v>3278</v>
      </c>
      <c r="M70" s="106">
        <v>3292</v>
      </c>
      <c r="N70" s="107">
        <f>+M70</f>
        <v>3292</v>
      </c>
      <c r="O70" s="108"/>
      <c r="P70" s="108"/>
      <c r="Q70" s="29"/>
      <c r="R70" s="112"/>
      <c r="S70" s="89"/>
      <c r="T70" s="88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110"/>
    </row>
    <row r="71" spans="1:33" s="109" customFormat="1" x14ac:dyDescent="0.3">
      <c r="A71" s="161" t="s">
        <v>62</v>
      </c>
      <c r="B71" s="106">
        <v>124</v>
      </c>
      <c r="C71" s="106">
        <v>124</v>
      </c>
      <c r="D71" s="106">
        <v>124</v>
      </c>
      <c r="E71" s="106">
        <v>124</v>
      </c>
      <c r="F71" s="106">
        <v>124</v>
      </c>
      <c r="G71" s="106">
        <v>132</v>
      </c>
      <c r="H71" s="106">
        <v>134</v>
      </c>
      <c r="I71" s="106">
        <v>134</v>
      </c>
      <c r="J71" s="106">
        <v>132</v>
      </c>
      <c r="K71" s="106">
        <v>132</v>
      </c>
      <c r="L71" s="106">
        <v>132</v>
      </c>
      <c r="M71" s="106">
        <v>132</v>
      </c>
      <c r="N71" s="107">
        <f>+M71</f>
        <v>132</v>
      </c>
      <c r="O71" s="108"/>
      <c r="P71" s="108"/>
      <c r="Q71" s="29"/>
      <c r="R71" s="112"/>
      <c r="S71" s="89"/>
      <c r="T71" s="88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110"/>
    </row>
    <row r="72" spans="1:33" s="109" customFormat="1" x14ac:dyDescent="0.3">
      <c r="A72" s="161" t="s">
        <v>63</v>
      </c>
      <c r="B72" s="106">
        <v>1</v>
      </c>
      <c r="C72" s="106">
        <v>1</v>
      </c>
      <c r="D72" s="106">
        <v>1</v>
      </c>
      <c r="E72" s="106">
        <v>1</v>
      </c>
      <c r="F72" s="106">
        <v>1</v>
      </c>
      <c r="G72" s="106">
        <v>1</v>
      </c>
      <c r="H72" s="106">
        <v>1</v>
      </c>
      <c r="I72" s="106">
        <v>1</v>
      </c>
      <c r="J72" s="106">
        <v>1</v>
      </c>
      <c r="K72" s="106">
        <v>1</v>
      </c>
      <c r="L72" s="106">
        <v>1</v>
      </c>
      <c r="M72" s="106">
        <v>1</v>
      </c>
      <c r="N72" s="107">
        <f>+M72</f>
        <v>1</v>
      </c>
      <c r="O72" s="108"/>
      <c r="P72" s="108"/>
      <c r="Q72" s="29"/>
      <c r="R72" s="112"/>
      <c r="S72" s="89"/>
      <c r="T72" s="88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110"/>
    </row>
    <row r="73" spans="1:33" s="109" customFormat="1" x14ac:dyDescent="0.3">
      <c r="A73" s="161" t="s">
        <v>64</v>
      </c>
      <c r="B73" s="106">
        <v>3</v>
      </c>
      <c r="C73" s="106">
        <v>3</v>
      </c>
      <c r="D73" s="106">
        <v>3</v>
      </c>
      <c r="E73" s="106">
        <v>3</v>
      </c>
      <c r="F73" s="106">
        <v>3</v>
      </c>
      <c r="G73" s="106">
        <v>3</v>
      </c>
      <c r="H73" s="106">
        <v>3</v>
      </c>
      <c r="I73" s="106">
        <v>3</v>
      </c>
      <c r="J73" s="106">
        <v>3</v>
      </c>
      <c r="K73" s="106">
        <v>3</v>
      </c>
      <c r="L73" s="106">
        <v>3</v>
      </c>
      <c r="M73" s="106">
        <v>3</v>
      </c>
      <c r="N73" s="107">
        <f>+M73</f>
        <v>3</v>
      </c>
      <c r="O73" s="108"/>
      <c r="P73" s="108"/>
      <c r="Q73" s="29"/>
      <c r="R73" s="112"/>
      <c r="S73" s="89"/>
      <c r="T73" s="88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110"/>
    </row>
    <row r="74" spans="1:33" s="109" customFormat="1" x14ac:dyDescent="0.3">
      <c r="A74" s="161" t="s">
        <v>65</v>
      </c>
      <c r="B74" s="106">
        <v>15</v>
      </c>
      <c r="C74" s="106">
        <v>15</v>
      </c>
      <c r="D74" s="106">
        <v>15</v>
      </c>
      <c r="E74" s="106">
        <v>15</v>
      </c>
      <c r="F74" s="106">
        <v>15</v>
      </c>
      <c r="G74" s="106">
        <v>15</v>
      </c>
      <c r="H74" s="106">
        <v>15</v>
      </c>
      <c r="I74" s="106">
        <v>15</v>
      </c>
      <c r="J74" s="106">
        <v>15</v>
      </c>
      <c r="K74" s="106">
        <v>15</v>
      </c>
      <c r="L74" s="106">
        <v>15</v>
      </c>
      <c r="M74" s="106">
        <v>15</v>
      </c>
      <c r="N74" s="107">
        <f>+M74</f>
        <v>15</v>
      </c>
      <c r="O74" s="108"/>
      <c r="P74" s="108"/>
      <c r="Q74" s="29"/>
      <c r="R74" s="112"/>
      <c r="S74" s="89"/>
      <c r="T74" s="88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110"/>
    </row>
    <row r="75" spans="1:33" s="109" customFormat="1" x14ac:dyDescent="0.3">
      <c r="A75" s="105" t="s">
        <v>66</v>
      </c>
      <c r="B75" s="160">
        <f>SUM(B76:B80)</f>
        <v>2957</v>
      </c>
      <c r="C75" s="160">
        <f t="shared" ref="C75:N75" si="20">SUM(C76:C80)</f>
        <v>2957</v>
      </c>
      <c r="D75" s="160">
        <f t="shared" si="20"/>
        <v>2957</v>
      </c>
      <c r="E75" s="160">
        <f t="shared" si="20"/>
        <v>2957</v>
      </c>
      <c r="F75" s="160">
        <f t="shared" si="20"/>
        <v>2957</v>
      </c>
      <c r="G75" s="160">
        <f t="shared" si="20"/>
        <v>2950</v>
      </c>
      <c r="H75" s="160">
        <f t="shared" si="20"/>
        <v>2945</v>
      </c>
      <c r="I75" s="160">
        <f t="shared" si="20"/>
        <v>2927</v>
      </c>
      <c r="J75" s="160">
        <f t="shared" si="20"/>
        <v>2921</v>
      </c>
      <c r="K75" s="160">
        <f t="shared" si="20"/>
        <v>2921</v>
      </c>
      <c r="L75" s="160">
        <f t="shared" si="20"/>
        <v>2923</v>
      </c>
      <c r="M75" s="160">
        <f t="shared" si="20"/>
        <v>2926</v>
      </c>
      <c r="N75" s="160">
        <f t="shared" si="20"/>
        <v>2926</v>
      </c>
      <c r="O75" s="108"/>
      <c r="P75" s="108"/>
      <c r="Q75" s="29"/>
      <c r="R75" s="112"/>
      <c r="S75" s="89"/>
      <c r="T75" s="88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110"/>
    </row>
    <row r="76" spans="1:33" s="109" customFormat="1" x14ac:dyDescent="0.3">
      <c r="A76" s="161" t="s">
        <v>61</v>
      </c>
      <c r="B76" s="106">
        <v>2900</v>
      </c>
      <c r="C76" s="106">
        <v>2900</v>
      </c>
      <c r="D76" s="106">
        <v>2900</v>
      </c>
      <c r="E76" s="106">
        <v>2900</v>
      </c>
      <c r="F76" s="106">
        <v>2900</v>
      </c>
      <c r="G76" s="106">
        <v>2891</v>
      </c>
      <c r="H76" s="106">
        <v>2884</v>
      </c>
      <c r="I76" s="106">
        <v>2866</v>
      </c>
      <c r="J76" s="106">
        <v>2863</v>
      </c>
      <c r="K76" s="106">
        <v>2863</v>
      </c>
      <c r="L76" s="106">
        <v>2865</v>
      </c>
      <c r="M76" s="106">
        <v>2867</v>
      </c>
      <c r="N76" s="107">
        <f t="shared" ref="N76:N81" si="21">+M76</f>
        <v>2867</v>
      </c>
      <c r="O76" s="108"/>
      <c r="P76" s="108"/>
      <c r="Q76" s="29"/>
      <c r="R76" s="112"/>
      <c r="S76" s="89"/>
      <c r="T76" s="88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110"/>
    </row>
    <row r="77" spans="1:33" s="109" customFormat="1" x14ac:dyDescent="0.3">
      <c r="A77" s="161" t="s">
        <v>62</v>
      </c>
      <c r="B77" s="106">
        <v>20</v>
      </c>
      <c r="C77" s="106">
        <v>20</v>
      </c>
      <c r="D77" s="106">
        <v>20</v>
      </c>
      <c r="E77" s="106">
        <v>20</v>
      </c>
      <c r="F77" s="106">
        <v>20</v>
      </c>
      <c r="G77" s="106">
        <v>22</v>
      </c>
      <c r="H77" s="106">
        <v>24</v>
      </c>
      <c r="I77" s="106">
        <v>24</v>
      </c>
      <c r="J77" s="106">
        <v>21</v>
      </c>
      <c r="K77" s="106">
        <v>21</v>
      </c>
      <c r="L77" s="106">
        <v>21</v>
      </c>
      <c r="M77" s="106">
        <v>22</v>
      </c>
      <c r="N77" s="107">
        <f t="shared" si="21"/>
        <v>22</v>
      </c>
      <c r="O77" s="108"/>
      <c r="P77" s="108"/>
      <c r="Q77" s="29"/>
      <c r="R77" s="112"/>
      <c r="S77" s="89"/>
      <c r="T77" s="88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110"/>
    </row>
    <row r="78" spans="1:33" s="109" customFormat="1" x14ac:dyDescent="0.3">
      <c r="A78" s="161" t="s">
        <v>63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7">
        <f t="shared" si="21"/>
        <v>0</v>
      </c>
      <c r="O78" s="108"/>
      <c r="P78" s="108"/>
      <c r="Q78" s="29"/>
      <c r="R78" s="112"/>
      <c r="S78" s="89"/>
      <c r="T78" s="88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110"/>
    </row>
    <row r="79" spans="1:33" s="109" customFormat="1" x14ac:dyDescent="0.3">
      <c r="A79" s="161" t="s">
        <v>64</v>
      </c>
      <c r="B79" s="106">
        <v>28</v>
      </c>
      <c r="C79" s="106">
        <v>28</v>
      </c>
      <c r="D79" s="106">
        <v>28</v>
      </c>
      <c r="E79" s="106">
        <v>28</v>
      </c>
      <c r="F79" s="106">
        <v>28</v>
      </c>
      <c r="G79" s="106">
        <v>28</v>
      </c>
      <c r="H79" s="106">
        <v>28</v>
      </c>
      <c r="I79" s="106">
        <v>28</v>
      </c>
      <c r="J79" s="106">
        <v>28</v>
      </c>
      <c r="K79" s="106">
        <v>28</v>
      </c>
      <c r="L79" s="106">
        <v>28</v>
      </c>
      <c r="M79" s="106">
        <v>28</v>
      </c>
      <c r="N79" s="107">
        <f t="shared" si="21"/>
        <v>28</v>
      </c>
      <c r="O79" s="108"/>
      <c r="P79" s="108"/>
      <c r="Q79" s="29"/>
      <c r="R79" s="112"/>
      <c r="S79" s="89"/>
      <c r="T79" s="88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110"/>
    </row>
    <row r="80" spans="1:33" s="109" customFormat="1" x14ac:dyDescent="0.3">
      <c r="A80" s="161" t="s">
        <v>65</v>
      </c>
      <c r="B80" s="106">
        <v>9</v>
      </c>
      <c r="C80" s="106">
        <v>9</v>
      </c>
      <c r="D80" s="106">
        <v>9</v>
      </c>
      <c r="E80" s="106">
        <v>9</v>
      </c>
      <c r="F80" s="106">
        <v>9</v>
      </c>
      <c r="G80" s="106">
        <v>9</v>
      </c>
      <c r="H80" s="106">
        <v>9</v>
      </c>
      <c r="I80" s="106">
        <v>9</v>
      </c>
      <c r="J80" s="106">
        <v>9</v>
      </c>
      <c r="K80" s="106">
        <v>9</v>
      </c>
      <c r="L80" s="106">
        <v>9</v>
      </c>
      <c r="M80" s="106">
        <v>9</v>
      </c>
      <c r="N80" s="107">
        <f t="shared" si="21"/>
        <v>9</v>
      </c>
      <c r="O80" s="108"/>
      <c r="P80" s="108"/>
      <c r="Q80" s="29"/>
      <c r="R80" s="112"/>
      <c r="S80" s="89"/>
      <c r="T80" s="88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110"/>
    </row>
    <row r="81" spans="1:33" s="120" customFormat="1" x14ac:dyDescent="0.3">
      <c r="A81" s="162" t="s">
        <v>67</v>
      </c>
      <c r="B81" s="163">
        <v>5584</v>
      </c>
      <c r="C81" s="163">
        <v>5584</v>
      </c>
      <c r="D81" s="163">
        <v>5584</v>
      </c>
      <c r="E81" s="163">
        <v>5584</v>
      </c>
      <c r="F81" s="163">
        <v>5584</v>
      </c>
      <c r="G81" s="163">
        <v>5584</v>
      </c>
      <c r="H81" s="163">
        <v>5606</v>
      </c>
      <c r="I81" s="163">
        <v>5618</v>
      </c>
      <c r="J81" s="163">
        <v>5650</v>
      </c>
      <c r="K81" s="163">
        <v>5650</v>
      </c>
      <c r="L81" s="163">
        <v>5656</v>
      </c>
      <c r="M81" s="163">
        <v>5673</v>
      </c>
      <c r="N81" s="107">
        <f t="shared" si="21"/>
        <v>5673</v>
      </c>
      <c r="O81" s="117"/>
      <c r="P81" s="117"/>
      <c r="Q81" s="29"/>
      <c r="R81" s="30"/>
      <c r="S81" s="89"/>
      <c r="T81" s="88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119"/>
    </row>
    <row r="82" spans="1:33" s="120" customFormat="1" x14ac:dyDescent="0.3">
      <c r="A82" s="162"/>
      <c r="B82" s="145"/>
      <c r="C82" s="164"/>
      <c r="D82" s="115"/>
      <c r="E82" s="165"/>
      <c r="F82" s="115"/>
      <c r="G82" s="166"/>
      <c r="H82" s="166"/>
      <c r="I82" s="115"/>
      <c r="J82" s="115"/>
      <c r="K82" s="115"/>
      <c r="L82" s="115"/>
      <c r="M82" s="115"/>
      <c r="N82" s="116"/>
      <c r="O82" s="117"/>
      <c r="P82" s="117"/>
      <c r="Q82" s="29"/>
      <c r="R82" s="30"/>
      <c r="S82" s="89"/>
      <c r="T82" s="88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119"/>
    </row>
    <row r="83" spans="1:33" s="109" customFormat="1" x14ac:dyDescent="0.3">
      <c r="A83" s="156" t="s">
        <v>68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16"/>
      <c r="O83" s="108"/>
      <c r="P83" s="108"/>
      <c r="Q83" s="29"/>
      <c r="R83" s="112"/>
      <c r="S83" s="89"/>
      <c r="T83" s="88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110"/>
    </row>
    <row r="84" spans="1:33" x14ac:dyDescent="0.3">
      <c r="A84" s="167" t="s">
        <v>69</v>
      </c>
      <c r="B84" s="168">
        <f>+B85+B89+B90</f>
        <v>48277706.749999993</v>
      </c>
      <c r="C84" s="168">
        <f t="shared" ref="C84:N84" si="22">+C85+C89+C90</f>
        <v>48277465.279999994</v>
      </c>
      <c r="D84" s="168">
        <f t="shared" si="22"/>
        <v>48277465.279999994</v>
      </c>
      <c r="E84" s="168">
        <f t="shared" si="22"/>
        <v>48277465.279999994</v>
      </c>
      <c r="F84" s="168">
        <f t="shared" si="22"/>
        <v>48286821.229999997</v>
      </c>
      <c r="G84" s="168">
        <f t="shared" si="22"/>
        <v>49232975.439999998</v>
      </c>
      <c r="H84" s="168">
        <f t="shared" si="22"/>
        <v>49817546.859999999</v>
      </c>
      <c r="I84" s="168">
        <f t="shared" si="22"/>
        <v>50335583.959999993</v>
      </c>
      <c r="J84" s="168">
        <f t="shared" si="22"/>
        <v>51930234.209999993</v>
      </c>
      <c r="K84" s="168">
        <f t="shared" si="22"/>
        <v>51930231.909999996</v>
      </c>
      <c r="L84" s="168">
        <f t="shared" si="22"/>
        <v>52614009.259999998</v>
      </c>
      <c r="M84" s="168">
        <f t="shared" si="22"/>
        <v>52814389.5</v>
      </c>
      <c r="N84" s="168">
        <f t="shared" si="22"/>
        <v>52814389.5</v>
      </c>
      <c r="O84" s="169"/>
      <c r="P84" s="169"/>
      <c r="Q84" s="159"/>
    </row>
    <row r="85" spans="1:33" s="109" customFormat="1" x14ac:dyDescent="0.3">
      <c r="A85" s="105" t="s">
        <v>70</v>
      </c>
      <c r="B85" s="160">
        <f>SUM(B86:B88)</f>
        <v>46808814.479999997</v>
      </c>
      <c r="C85" s="160">
        <f t="shared" ref="C85:N85" si="23">SUM(C86:C88)</f>
        <v>46808573.009999998</v>
      </c>
      <c r="D85" s="160">
        <f t="shared" si="23"/>
        <v>46808573.009999998</v>
      </c>
      <c r="E85" s="160">
        <f t="shared" si="23"/>
        <v>46808573.009999998</v>
      </c>
      <c r="F85" s="160">
        <f t="shared" si="23"/>
        <v>46817928.960000001</v>
      </c>
      <c r="G85" s="160">
        <f t="shared" si="23"/>
        <v>47758051.769999996</v>
      </c>
      <c r="H85" s="160">
        <f t="shared" si="23"/>
        <v>48337216.859999999</v>
      </c>
      <c r="I85" s="160">
        <f t="shared" si="23"/>
        <v>48850925.349999994</v>
      </c>
      <c r="J85" s="160">
        <f t="shared" si="23"/>
        <v>50437460.939999998</v>
      </c>
      <c r="K85" s="160">
        <f t="shared" si="23"/>
        <v>50437458.640000001</v>
      </c>
      <c r="L85" s="160">
        <f t="shared" si="23"/>
        <v>51114248.119999997</v>
      </c>
      <c r="M85" s="160">
        <f t="shared" si="23"/>
        <v>51311921.640000001</v>
      </c>
      <c r="N85" s="160">
        <f t="shared" si="23"/>
        <v>51311921.640000001</v>
      </c>
      <c r="O85" s="108"/>
      <c r="P85" s="108"/>
      <c r="Q85" s="29"/>
      <c r="R85" s="112"/>
      <c r="S85" s="89"/>
      <c r="T85" s="88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110"/>
    </row>
    <row r="86" spans="1:33" s="109" customFormat="1" x14ac:dyDescent="0.3">
      <c r="A86" s="161" t="s">
        <v>61</v>
      </c>
      <c r="B86" s="106">
        <v>46120245.539999999</v>
      </c>
      <c r="C86" s="106">
        <v>46120004.07</v>
      </c>
      <c r="D86" s="106">
        <v>46120004.07</v>
      </c>
      <c r="E86" s="106">
        <v>46120004.07</v>
      </c>
      <c r="F86" s="106">
        <v>46129360.020000003</v>
      </c>
      <c r="G86" s="106">
        <v>47029055.359999999</v>
      </c>
      <c r="H86" s="106">
        <v>47637515.859999999</v>
      </c>
      <c r="I86" s="106">
        <v>48159203.979999997</v>
      </c>
      <c r="J86" s="106">
        <v>49731931.329999998</v>
      </c>
      <c r="K86" s="106">
        <v>49731929.030000001</v>
      </c>
      <c r="L86" s="106">
        <v>50401823.659999996</v>
      </c>
      <c r="M86" s="106">
        <v>50597944.049999997</v>
      </c>
      <c r="N86" s="107">
        <f>+M86</f>
        <v>50597944.049999997</v>
      </c>
      <c r="O86" s="108"/>
      <c r="P86" s="108"/>
      <c r="Q86" s="29"/>
      <c r="R86" s="112"/>
      <c r="S86" s="89"/>
      <c r="T86" s="88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110"/>
    </row>
    <row r="87" spans="1:33" s="109" customFormat="1" x14ac:dyDescent="0.3">
      <c r="A87" s="161" t="s">
        <v>62</v>
      </c>
      <c r="B87" s="106">
        <v>688568.94</v>
      </c>
      <c r="C87" s="106">
        <v>688568.94</v>
      </c>
      <c r="D87" s="106">
        <v>688568.94</v>
      </c>
      <c r="E87" s="106">
        <v>688568.94</v>
      </c>
      <c r="F87" s="106">
        <v>688568.94</v>
      </c>
      <c r="G87" s="106">
        <v>728996.41</v>
      </c>
      <c r="H87" s="106">
        <v>692617.95</v>
      </c>
      <c r="I87" s="106">
        <v>691721.37</v>
      </c>
      <c r="J87" s="106">
        <v>691033.59999999998</v>
      </c>
      <c r="K87" s="106">
        <v>691033.59999999998</v>
      </c>
      <c r="L87" s="106">
        <v>712424.46</v>
      </c>
      <c r="M87" s="106">
        <v>713977.59</v>
      </c>
      <c r="N87" s="107">
        <f>+M87</f>
        <v>713977.59</v>
      </c>
      <c r="O87" s="108"/>
      <c r="P87" s="108"/>
      <c r="Q87" s="29"/>
      <c r="R87" s="112"/>
      <c r="S87" s="89"/>
      <c r="T87" s="88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110"/>
    </row>
    <row r="88" spans="1:33" s="109" customFormat="1" x14ac:dyDescent="0.3">
      <c r="A88" s="161" t="s">
        <v>63</v>
      </c>
      <c r="B88" s="106">
        <v>0</v>
      </c>
      <c r="C88" s="106"/>
      <c r="D88" s="106"/>
      <c r="E88" s="106"/>
      <c r="F88" s="106">
        <v>0</v>
      </c>
      <c r="G88" s="106">
        <v>0</v>
      </c>
      <c r="H88" s="106">
        <v>7083.05</v>
      </c>
      <c r="I88" s="106">
        <v>0</v>
      </c>
      <c r="J88" s="106">
        <v>14496.01</v>
      </c>
      <c r="K88" s="106">
        <v>14496.01</v>
      </c>
      <c r="L88" s="106">
        <v>0</v>
      </c>
      <c r="M88" s="106"/>
      <c r="N88" s="107">
        <f>+M88</f>
        <v>0</v>
      </c>
      <c r="O88" s="108"/>
      <c r="P88" s="108"/>
      <c r="Q88" s="29"/>
      <c r="R88" s="112"/>
      <c r="S88" s="89"/>
      <c r="T88" s="88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110"/>
    </row>
    <row r="89" spans="1:33" s="109" customFormat="1" x14ac:dyDescent="0.3">
      <c r="A89" s="105" t="s">
        <v>71</v>
      </c>
      <c r="B89" s="106">
        <v>999247.76</v>
      </c>
      <c r="C89" s="106">
        <v>999247.76</v>
      </c>
      <c r="D89" s="106">
        <v>999247.76</v>
      </c>
      <c r="E89" s="106">
        <v>999247.76</v>
      </c>
      <c r="F89" s="106">
        <v>999247.76</v>
      </c>
      <c r="G89" s="106">
        <v>999224.53</v>
      </c>
      <c r="H89" s="106">
        <v>999232.54</v>
      </c>
      <c r="I89" s="106">
        <v>999206.23</v>
      </c>
      <c r="J89" s="106">
        <v>999206.23</v>
      </c>
      <c r="K89" s="106">
        <v>999206.23</v>
      </c>
      <c r="L89" s="106">
        <v>999214.7</v>
      </c>
      <c r="M89" s="106">
        <v>999206.23</v>
      </c>
      <c r="N89" s="107">
        <f>+M89</f>
        <v>999206.23</v>
      </c>
      <c r="O89" s="108"/>
      <c r="P89" s="108"/>
      <c r="Q89" s="29"/>
      <c r="R89" s="112"/>
      <c r="S89" s="89"/>
      <c r="T89" s="88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110"/>
    </row>
    <row r="90" spans="1:33" s="109" customFormat="1" x14ac:dyDescent="0.3">
      <c r="A90" s="105" t="s">
        <v>72</v>
      </c>
      <c r="B90" s="106">
        <v>469644.51</v>
      </c>
      <c r="C90" s="106">
        <v>469644.51</v>
      </c>
      <c r="D90" s="106">
        <v>469644.51</v>
      </c>
      <c r="E90" s="106">
        <v>469644.51</v>
      </c>
      <c r="F90" s="106">
        <v>469644.51</v>
      </c>
      <c r="G90" s="106">
        <v>475699.14</v>
      </c>
      <c r="H90" s="106">
        <v>481097.46</v>
      </c>
      <c r="I90" s="106">
        <v>485452.38</v>
      </c>
      <c r="J90" s="106">
        <v>493567.04</v>
      </c>
      <c r="K90" s="106">
        <v>493567.04</v>
      </c>
      <c r="L90" s="106">
        <v>500546.44</v>
      </c>
      <c r="M90" s="106">
        <v>503261.63</v>
      </c>
      <c r="N90" s="107">
        <f>+M90</f>
        <v>503261.63</v>
      </c>
      <c r="O90" s="108"/>
      <c r="P90" s="108"/>
      <c r="Q90" s="29"/>
      <c r="R90" s="112"/>
      <c r="S90" s="89"/>
      <c r="T90" s="88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110"/>
    </row>
    <row r="91" spans="1:33" s="109" customFormat="1" x14ac:dyDescent="0.3">
      <c r="A91" s="105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7"/>
      <c r="O91" s="108"/>
      <c r="P91" s="108"/>
      <c r="Q91" s="29"/>
      <c r="R91" s="112"/>
      <c r="S91" s="89"/>
      <c r="T91" s="88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110"/>
    </row>
    <row r="92" spans="1:33" s="109" customFormat="1" x14ac:dyDescent="0.3">
      <c r="A92" s="170" t="s">
        <v>73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7"/>
      <c r="O92" s="108"/>
      <c r="P92" s="108"/>
      <c r="Q92" s="29"/>
      <c r="R92" s="112"/>
      <c r="S92" s="89"/>
      <c r="T92" s="88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110"/>
    </row>
    <row r="93" spans="1:33" s="109" customFormat="1" x14ac:dyDescent="0.3">
      <c r="A93" s="170" t="s">
        <v>74</v>
      </c>
      <c r="B93" s="106">
        <v>1036</v>
      </c>
      <c r="C93" s="106">
        <v>992</v>
      </c>
      <c r="D93" s="106">
        <v>908</v>
      </c>
      <c r="E93" s="106">
        <v>801</v>
      </c>
      <c r="F93" s="106">
        <v>633</v>
      </c>
      <c r="G93" s="106">
        <v>775</v>
      </c>
      <c r="H93" s="106">
        <v>749</v>
      </c>
      <c r="I93" s="106">
        <v>616</v>
      </c>
      <c r="J93" s="212">
        <v>909</v>
      </c>
      <c r="K93" s="106">
        <v>830</v>
      </c>
      <c r="L93" s="106">
        <v>802</v>
      </c>
      <c r="M93" s="106">
        <v>581</v>
      </c>
      <c r="N93" s="107">
        <f>+M93</f>
        <v>581</v>
      </c>
      <c r="O93" s="108"/>
      <c r="P93" s="108"/>
      <c r="Q93" s="29"/>
      <c r="R93" s="112"/>
      <c r="S93" s="89"/>
      <c r="T93" s="88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110"/>
    </row>
    <row r="94" spans="1:33" s="109" customFormat="1" x14ac:dyDescent="0.3">
      <c r="A94" s="170" t="s">
        <v>75</v>
      </c>
      <c r="B94" s="106">
        <v>81</v>
      </c>
      <c r="C94" s="106">
        <v>82</v>
      </c>
      <c r="D94" s="106">
        <v>128</v>
      </c>
      <c r="E94" s="106">
        <v>191</v>
      </c>
      <c r="F94" s="106">
        <v>285</v>
      </c>
      <c r="G94" s="106">
        <v>300</v>
      </c>
      <c r="H94" s="106">
        <v>249</v>
      </c>
      <c r="I94" s="106">
        <v>249</v>
      </c>
      <c r="J94" s="212">
        <v>187</v>
      </c>
      <c r="K94" s="106">
        <v>155</v>
      </c>
      <c r="L94" s="106">
        <v>226</v>
      </c>
      <c r="M94" s="106">
        <v>231</v>
      </c>
      <c r="N94" s="107">
        <f>+M94</f>
        <v>231</v>
      </c>
      <c r="O94" s="108"/>
      <c r="P94" s="108"/>
      <c r="Q94" s="29"/>
      <c r="R94" s="112"/>
      <c r="S94" s="89"/>
      <c r="T94" s="88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110"/>
    </row>
    <row r="95" spans="1:33" s="109" customFormat="1" x14ac:dyDescent="0.3">
      <c r="A95" s="170" t="s">
        <v>76</v>
      </c>
      <c r="B95" s="106">
        <v>212</v>
      </c>
      <c r="C95" s="106">
        <v>186</v>
      </c>
      <c r="D95" s="106">
        <v>175</v>
      </c>
      <c r="E95" s="106">
        <v>174</v>
      </c>
      <c r="F95" s="106">
        <v>209</v>
      </c>
      <c r="G95" s="106">
        <v>267</v>
      </c>
      <c r="H95" s="106">
        <v>334</v>
      </c>
      <c r="I95" s="106">
        <v>355</v>
      </c>
      <c r="J95" s="212">
        <v>370</v>
      </c>
      <c r="K95" s="106">
        <v>412</v>
      </c>
      <c r="L95" s="106">
        <v>338</v>
      </c>
      <c r="M95" s="106">
        <v>234</v>
      </c>
      <c r="N95" s="107">
        <f>+M95</f>
        <v>234</v>
      </c>
      <c r="O95" s="108"/>
      <c r="P95" s="108"/>
      <c r="Q95" s="29"/>
      <c r="R95" s="112"/>
      <c r="S95" s="89"/>
      <c r="T95" s="88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110"/>
    </row>
    <row r="96" spans="1:33" s="109" customFormat="1" x14ac:dyDescent="0.3">
      <c r="A96" s="170" t="s">
        <v>77</v>
      </c>
      <c r="B96" s="106">
        <v>256</v>
      </c>
      <c r="C96" s="106">
        <v>252</v>
      </c>
      <c r="D96" s="106">
        <v>237</v>
      </c>
      <c r="E96" s="106">
        <v>223</v>
      </c>
      <c r="F96" s="106">
        <v>212</v>
      </c>
      <c r="G96" s="106">
        <v>184</v>
      </c>
      <c r="H96" s="106">
        <v>163</v>
      </c>
      <c r="I96" s="106">
        <v>150</v>
      </c>
      <c r="J96" s="212">
        <v>146</v>
      </c>
      <c r="K96" s="106">
        <v>180</v>
      </c>
      <c r="L96" s="106">
        <v>260</v>
      </c>
      <c r="M96" s="106">
        <v>232</v>
      </c>
      <c r="N96" s="107">
        <f>+M96</f>
        <v>232</v>
      </c>
      <c r="O96" s="108"/>
      <c r="P96" s="108"/>
      <c r="Q96" s="29"/>
      <c r="R96" s="112"/>
      <c r="S96" s="89"/>
      <c r="T96" s="88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10"/>
    </row>
    <row r="97" spans="1:33" s="109" customFormat="1" x14ac:dyDescent="0.3">
      <c r="A97" s="170" t="s">
        <v>122</v>
      </c>
      <c r="B97" s="106">
        <v>1504</v>
      </c>
      <c r="C97" s="106">
        <v>1576</v>
      </c>
      <c r="D97" s="106">
        <v>1640</v>
      </c>
      <c r="E97" s="106">
        <v>1698</v>
      </c>
      <c r="F97" s="106">
        <v>1759</v>
      </c>
      <c r="G97" s="106">
        <v>1822</v>
      </c>
      <c r="H97" s="106">
        <v>1846</v>
      </c>
      <c r="I97" s="106">
        <v>1854</v>
      </c>
      <c r="J97" s="106">
        <v>1889</v>
      </c>
      <c r="K97" s="106">
        <v>1923</v>
      </c>
      <c r="L97" s="106">
        <v>1920</v>
      </c>
      <c r="M97" s="106">
        <v>1886</v>
      </c>
      <c r="N97" s="107">
        <f>+M97</f>
        <v>1886</v>
      </c>
      <c r="O97" s="108"/>
      <c r="P97" s="108"/>
      <c r="Q97" s="29"/>
      <c r="R97" s="112"/>
      <c r="S97" s="89"/>
      <c r="T97" s="88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110"/>
    </row>
    <row r="98" spans="1:33" s="109" customFormat="1" x14ac:dyDescent="0.3">
      <c r="A98" s="170" t="s">
        <v>78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7"/>
      <c r="O98" s="108"/>
      <c r="P98" s="108"/>
      <c r="Q98" s="29"/>
      <c r="R98" s="112"/>
      <c r="S98" s="89"/>
      <c r="T98" s="88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110"/>
    </row>
    <row r="99" spans="1:33" s="109" customFormat="1" x14ac:dyDescent="0.3">
      <c r="A99" s="170" t="s">
        <v>79</v>
      </c>
      <c r="B99" s="109">
        <f>(1075446.6/92773)</f>
        <v>11.592236965496427</v>
      </c>
      <c r="C99" s="106">
        <f>(1086848.56/93566)</f>
        <v>11.615849346985016</v>
      </c>
      <c r="D99" s="106">
        <f>(1248531.79/97931)</f>
        <v>12.749096710949546</v>
      </c>
      <c r="E99" s="106">
        <f>(1046039.32/91125)</f>
        <v>11.479169492455418</v>
      </c>
      <c r="F99" s="106">
        <v>11.56</v>
      </c>
      <c r="G99" s="106">
        <f>(1117417.62/(59160+33577))</f>
        <v>12.049318179367459</v>
      </c>
      <c r="H99" s="106">
        <f>(1048619.09/(29551+59040))</f>
        <v>11.836632276416342</v>
      </c>
      <c r="I99" s="106">
        <f>(1086841.91/(31541+58530))</f>
        <v>12.066502092793462</v>
      </c>
      <c r="J99" s="106">
        <f>1070858.41/(29446+59580)</f>
        <v>12.028602992384247</v>
      </c>
      <c r="K99" s="106">
        <f>1074865.83/(29144+59580)</f>
        <v>12.114713380821424</v>
      </c>
      <c r="L99" s="106">
        <f>1096630.89/(31000+59640)</f>
        <v>12.098752096204764</v>
      </c>
      <c r="M99" s="106">
        <f>1093427.91/(29726+59700)</f>
        <v>12.227181244828126</v>
      </c>
      <c r="N99" s="107">
        <f>+M99</f>
        <v>12.227181244828126</v>
      </c>
      <c r="O99" s="108"/>
      <c r="P99" s="108"/>
      <c r="Q99" s="29"/>
      <c r="R99" s="112"/>
      <c r="S99" s="89"/>
      <c r="T99" s="88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110"/>
    </row>
    <row r="100" spans="1:33" s="109" customFormat="1" x14ac:dyDescent="0.3">
      <c r="A100" s="170" t="s">
        <v>80</v>
      </c>
      <c r="B100" s="106">
        <f>(64442.02/3042)</f>
        <v>21.184095989480603</v>
      </c>
      <c r="C100" s="106">
        <f>(59800.01/2933)</f>
        <v>20.388683941356973</v>
      </c>
      <c r="D100" s="106">
        <f>(59512.35/2956)</f>
        <v>20.132730040595398</v>
      </c>
      <c r="E100" s="106">
        <f>(64458.13/2990)</f>
        <v>21.557903010033446</v>
      </c>
      <c r="F100" s="106">
        <v>21.12</v>
      </c>
      <c r="G100" s="106">
        <f>(80238/(2751+660))</f>
        <v>23.52330694810906</v>
      </c>
      <c r="H100" s="106">
        <f>(64620.04/(2323+720))</f>
        <v>21.235635885639173</v>
      </c>
      <c r="I100" s="106">
        <f>(71707.41/(2494+720))</f>
        <v>22.310955196017424</v>
      </c>
      <c r="J100" s="106">
        <f>68104.98/(2177+630)</f>
        <v>24.262550765942287</v>
      </c>
      <c r="K100" s="106">
        <f>65172.6/(2264+630)</f>
        <v>22.519903248099517</v>
      </c>
      <c r="L100" s="106">
        <f>62423.72/(2253+630)</f>
        <v>21.652348248352411</v>
      </c>
      <c r="M100" s="106">
        <f>67938.85/(2185+660)</f>
        <v>23.880087873462216</v>
      </c>
      <c r="N100" s="107">
        <f>+M100</f>
        <v>23.880087873462216</v>
      </c>
      <c r="O100" s="108"/>
      <c r="P100" s="108"/>
      <c r="Q100" s="29"/>
      <c r="R100" s="112"/>
      <c r="S100" s="89"/>
      <c r="T100" s="88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110"/>
    </row>
    <row r="101" spans="1:33" s="109" customFormat="1" x14ac:dyDescent="0.3">
      <c r="A101" s="170" t="s">
        <v>81</v>
      </c>
      <c r="B101" s="106">
        <f>(6972.69/192)</f>
        <v>36.31609375</v>
      </c>
      <c r="C101" s="106">
        <f>(6943.65/190)</f>
        <v>36.545526315789473</v>
      </c>
      <c r="D101" s="106">
        <f>(6700.55/182)</f>
        <v>36.816208791208794</v>
      </c>
      <c r="E101" s="106">
        <f>(7065.23/191)</f>
        <v>36.990732984293189</v>
      </c>
      <c r="F101" s="106">
        <v>37.229999999999997</v>
      </c>
      <c r="G101" s="106">
        <f>(7004.23/187)</f>
        <v>37.455775401069516</v>
      </c>
      <c r="H101" s="106">
        <f>(7119.33/189)</f>
        <v>37.668412698412695</v>
      </c>
      <c r="I101" s="106">
        <f>(7087.82/187)</f>
        <v>37.902780748663098</v>
      </c>
      <c r="J101" s="106">
        <f>7168/188</f>
        <v>38.127659574468083</v>
      </c>
      <c r="K101" s="106">
        <f>7210.82/188</f>
        <v>38.355425531914889</v>
      </c>
      <c r="L101" s="106">
        <f>7253.83/188</f>
        <v>38.584202127659573</v>
      </c>
      <c r="M101" s="106">
        <f>7297.02/188</f>
        <v>38.81393617021277</v>
      </c>
      <c r="N101" s="107">
        <f>+M101</f>
        <v>38.81393617021277</v>
      </c>
      <c r="O101" s="108"/>
      <c r="P101" s="108"/>
      <c r="Q101" s="29"/>
      <c r="R101" s="112"/>
      <c r="S101" s="89"/>
      <c r="T101" s="88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110"/>
    </row>
    <row r="102" spans="1:33" s="109" customFormat="1" x14ac:dyDescent="0.3">
      <c r="A102" s="214" t="s">
        <v>82</v>
      </c>
      <c r="B102" s="106"/>
      <c r="C102" s="106"/>
      <c r="D102" s="106"/>
      <c r="E102" s="106"/>
      <c r="F102" s="106">
        <v>0</v>
      </c>
      <c r="G102" s="106"/>
      <c r="H102" s="106"/>
      <c r="I102" s="106"/>
      <c r="J102" s="106"/>
      <c r="K102" s="106"/>
      <c r="L102" s="106"/>
      <c r="M102" s="106"/>
      <c r="N102" s="107">
        <f>+M102</f>
        <v>0</v>
      </c>
      <c r="O102" s="108"/>
      <c r="P102" s="108"/>
      <c r="Q102" s="29"/>
      <c r="R102" s="112"/>
      <c r="S102" s="89"/>
      <c r="T102" s="88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110"/>
    </row>
    <row r="103" spans="1:33" s="120" customFormat="1" x14ac:dyDescent="0.3">
      <c r="A103" s="215"/>
      <c r="B103" s="114"/>
      <c r="C103" s="164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6"/>
      <c r="O103" s="117"/>
      <c r="P103" s="117"/>
      <c r="Q103" s="29"/>
      <c r="R103" s="30"/>
      <c r="S103" s="89"/>
      <c r="T103" s="88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119"/>
    </row>
    <row r="104" spans="1:33" s="120" customFormat="1" x14ac:dyDescent="0.3">
      <c r="A104" s="171" t="s">
        <v>83</v>
      </c>
      <c r="B104" s="172"/>
      <c r="C104" s="173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5"/>
      <c r="O104" s="174"/>
      <c r="P104" s="174"/>
      <c r="Q104" s="176"/>
      <c r="R104" s="30"/>
      <c r="S104" s="89"/>
      <c r="T104" s="88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119"/>
    </row>
    <row r="105" spans="1:33" s="120" customFormat="1" x14ac:dyDescent="0.3">
      <c r="A105" s="177" t="s">
        <v>84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16">
        <f>+M105</f>
        <v>0</v>
      </c>
      <c r="O105" s="117"/>
      <c r="P105" s="117"/>
      <c r="Q105" s="29"/>
      <c r="R105" s="30"/>
      <c r="S105" s="89"/>
      <c r="T105" s="88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119"/>
    </row>
    <row r="106" spans="1:33" s="120" customFormat="1" x14ac:dyDescent="0.3">
      <c r="A106" s="177" t="s">
        <v>85</v>
      </c>
      <c r="B106" s="106">
        <v>6441</v>
      </c>
      <c r="C106" s="106">
        <v>6441</v>
      </c>
      <c r="D106" s="106">
        <v>6441</v>
      </c>
      <c r="E106" s="106">
        <v>6441</v>
      </c>
      <c r="F106" s="106">
        <v>6441</v>
      </c>
      <c r="G106" s="106">
        <v>6441</v>
      </c>
      <c r="H106" s="106">
        <v>6463</v>
      </c>
      <c r="I106" s="106">
        <v>6475</v>
      </c>
      <c r="J106" s="106">
        <v>6507</v>
      </c>
      <c r="K106" s="106">
        <v>6507</v>
      </c>
      <c r="L106" s="106">
        <v>6513</v>
      </c>
      <c r="M106" s="106">
        <v>6530</v>
      </c>
      <c r="N106" s="116">
        <f>+M106</f>
        <v>6530</v>
      </c>
      <c r="O106" s="117"/>
      <c r="P106" s="117"/>
      <c r="Q106" s="29"/>
      <c r="R106" s="30"/>
      <c r="S106" s="89"/>
      <c r="T106" s="88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119"/>
    </row>
    <row r="107" spans="1:33" s="120" customFormat="1" x14ac:dyDescent="0.3">
      <c r="A107" s="177" t="s">
        <v>86</v>
      </c>
      <c r="B107" s="178">
        <v>5584</v>
      </c>
      <c r="C107" s="178">
        <v>5584</v>
      </c>
      <c r="D107" s="178">
        <v>5584</v>
      </c>
      <c r="E107" s="178">
        <v>5584</v>
      </c>
      <c r="F107" s="178">
        <v>5584</v>
      </c>
      <c r="G107" s="178">
        <v>5584</v>
      </c>
      <c r="H107" s="178">
        <v>5606</v>
      </c>
      <c r="I107" s="178">
        <v>5618</v>
      </c>
      <c r="J107" s="178">
        <v>5650</v>
      </c>
      <c r="K107" s="178">
        <v>5650</v>
      </c>
      <c r="L107" s="178">
        <v>5656</v>
      </c>
      <c r="M107" s="178">
        <v>5673</v>
      </c>
      <c r="N107" s="116"/>
      <c r="O107" s="117"/>
      <c r="P107" s="117"/>
      <c r="Q107" s="29"/>
      <c r="R107" s="30"/>
      <c r="S107" s="89"/>
      <c r="T107" s="88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119"/>
    </row>
    <row r="108" spans="1:33" s="120" customFormat="1" x14ac:dyDescent="0.3">
      <c r="A108" s="179" t="s">
        <v>87</v>
      </c>
      <c r="B108" s="106">
        <v>2786</v>
      </c>
      <c r="C108" s="106">
        <v>2786</v>
      </c>
      <c r="D108" s="106">
        <v>2787</v>
      </c>
      <c r="E108" s="106">
        <v>2787</v>
      </c>
      <c r="F108" s="106">
        <v>2776</v>
      </c>
      <c r="G108" s="106">
        <v>2529</v>
      </c>
      <c r="H108" s="106">
        <v>2074</v>
      </c>
      <c r="I108" s="106">
        <v>2556</v>
      </c>
      <c r="J108" s="106">
        <v>1922</v>
      </c>
      <c r="K108" s="106">
        <v>1985</v>
      </c>
      <c r="L108" s="106">
        <v>1952</v>
      </c>
      <c r="M108" s="106">
        <v>2347</v>
      </c>
      <c r="N108" s="180"/>
      <c r="O108" s="117"/>
      <c r="P108" s="117"/>
      <c r="Q108" s="29"/>
      <c r="R108" s="30"/>
      <c r="S108" s="89"/>
      <c r="T108" s="88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119"/>
    </row>
    <row r="109" spans="1:33" s="120" customFormat="1" x14ac:dyDescent="0.3">
      <c r="A109" s="179" t="s">
        <v>88</v>
      </c>
      <c r="B109" s="106">
        <v>1147</v>
      </c>
      <c r="C109" s="106">
        <v>1147</v>
      </c>
      <c r="D109" s="106">
        <v>1147</v>
      </c>
      <c r="E109" s="106">
        <v>1147</v>
      </c>
      <c r="F109" s="106">
        <v>1146</v>
      </c>
      <c r="G109" s="106">
        <v>1160</v>
      </c>
      <c r="H109" s="106">
        <v>1190</v>
      </c>
      <c r="I109" s="106">
        <v>1204</v>
      </c>
      <c r="J109" s="106">
        <v>1244</v>
      </c>
      <c r="K109" s="106">
        <v>1244</v>
      </c>
      <c r="L109" s="106">
        <v>1254</v>
      </c>
      <c r="M109" s="106">
        <v>1279</v>
      </c>
      <c r="N109" s="116">
        <f t="shared" ref="N109:N121" si="24">+M109</f>
        <v>1279</v>
      </c>
      <c r="O109" s="117"/>
      <c r="P109" s="117"/>
      <c r="Q109" s="29"/>
      <c r="R109" s="30"/>
      <c r="S109" s="89"/>
      <c r="T109" s="88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119"/>
    </row>
    <row r="110" spans="1:33" s="120" customFormat="1" x14ac:dyDescent="0.3">
      <c r="A110" s="179" t="s">
        <v>89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16">
        <f t="shared" si="24"/>
        <v>0</v>
      </c>
      <c r="O110" s="117"/>
      <c r="P110" s="117"/>
      <c r="Q110" s="29"/>
      <c r="R110" s="30"/>
      <c r="S110" s="89"/>
      <c r="T110" s="88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119"/>
    </row>
    <row r="111" spans="1:33" s="120" customFormat="1" x14ac:dyDescent="0.3">
      <c r="A111" s="179" t="s">
        <v>90</v>
      </c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16">
        <f t="shared" si="24"/>
        <v>0</v>
      </c>
      <c r="O111" s="117"/>
      <c r="P111" s="117"/>
      <c r="Q111" s="29"/>
      <c r="R111" s="30"/>
      <c r="S111" s="89"/>
      <c r="T111" s="88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119"/>
    </row>
    <row r="112" spans="1:33" s="120" customFormat="1" x14ac:dyDescent="0.3">
      <c r="A112" s="179" t="s">
        <v>91</v>
      </c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16">
        <f t="shared" si="24"/>
        <v>0</v>
      </c>
      <c r="O112" s="117"/>
      <c r="P112" s="117"/>
      <c r="Q112" s="29"/>
      <c r="R112" s="30"/>
      <c r="S112" s="89"/>
      <c r="T112" s="88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119"/>
    </row>
    <row r="113" spans="1:33" s="120" customFormat="1" x14ac:dyDescent="0.3">
      <c r="A113" s="179" t="s">
        <v>92</v>
      </c>
      <c r="B113" s="181">
        <v>0</v>
      </c>
      <c r="C113" s="181"/>
      <c r="D113" s="181"/>
      <c r="E113" s="182"/>
      <c r="F113" s="181"/>
      <c r="G113" s="181"/>
      <c r="H113" s="181"/>
      <c r="I113" s="181"/>
      <c r="J113" s="181"/>
      <c r="K113" s="181"/>
      <c r="L113" s="182"/>
      <c r="M113" s="182"/>
      <c r="N113" s="183">
        <f t="shared" si="24"/>
        <v>0</v>
      </c>
      <c r="O113" s="117"/>
      <c r="P113" s="117"/>
      <c r="Q113" s="29"/>
      <c r="R113" s="30"/>
      <c r="S113" s="89"/>
      <c r="T113" s="88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119"/>
    </row>
    <row r="114" spans="1:33" s="120" customFormat="1" x14ac:dyDescent="0.3">
      <c r="A114" s="179" t="s">
        <v>126</v>
      </c>
      <c r="B114" s="181">
        <v>0</v>
      </c>
      <c r="C114" s="181">
        <v>0</v>
      </c>
      <c r="D114" s="181">
        <v>0</v>
      </c>
      <c r="E114" s="181">
        <v>0</v>
      </c>
      <c r="F114" s="181">
        <f>+E114+F113</f>
        <v>0</v>
      </c>
      <c r="G114" s="181">
        <v>130</v>
      </c>
      <c r="H114" s="181">
        <v>0</v>
      </c>
      <c r="I114" s="181">
        <v>100</v>
      </c>
      <c r="J114" s="181"/>
      <c r="K114" s="181"/>
      <c r="L114" s="181"/>
      <c r="M114" s="181"/>
      <c r="N114" s="184">
        <f t="shared" si="24"/>
        <v>0</v>
      </c>
      <c r="O114" s="117"/>
      <c r="P114" s="117"/>
      <c r="Q114" s="29"/>
      <c r="R114" s="30"/>
      <c r="S114" s="89"/>
      <c r="T114" s="88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119"/>
    </row>
    <row r="115" spans="1:33" s="120" customFormat="1" x14ac:dyDescent="0.3">
      <c r="A115" s="179" t="s">
        <v>93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16">
        <f>SUM(B115:M115)</f>
        <v>0</v>
      </c>
      <c r="O115" s="117"/>
      <c r="P115" s="117"/>
      <c r="Q115" s="29"/>
      <c r="R115" s="30"/>
      <c r="S115" s="89"/>
      <c r="T115" s="88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119"/>
    </row>
    <row r="116" spans="1:33" s="120" customFormat="1" x14ac:dyDescent="0.3">
      <c r="A116" s="179" t="s">
        <v>94</v>
      </c>
      <c r="B116" s="106">
        <v>3328</v>
      </c>
      <c r="C116" s="106">
        <v>3328</v>
      </c>
      <c r="D116" s="106">
        <v>3328</v>
      </c>
      <c r="E116" s="106">
        <v>3328</v>
      </c>
      <c r="F116" s="106">
        <v>3328</v>
      </c>
      <c r="G116" s="106">
        <v>3336</v>
      </c>
      <c r="H116" s="106">
        <v>3358</v>
      </c>
      <c r="I116" s="106">
        <v>3391</v>
      </c>
      <c r="J116" s="106">
        <v>3425</v>
      </c>
      <c r="K116" s="106">
        <v>3425</v>
      </c>
      <c r="L116" s="106">
        <v>3429</v>
      </c>
      <c r="M116" s="106">
        <f>+M68</f>
        <v>6369</v>
      </c>
      <c r="N116" s="116">
        <f>+M116</f>
        <v>6369</v>
      </c>
      <c r="O116" s="117"/>
      <c r="P116" s="117"/>
      <c r="Q116" s="29"/>
      <c r="R116" s="30"/>
      <c r="S116" s="89"/>
      <c r="T116" s="88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119"/>
    </row>
    <row r="117" spans="1:33" s="120" customFormat="1" x14ac:dyDescent="0.3">
      <c r="A117" s="179" t="s">
        <v>95</v>
      </c>
      <c r="B117" s="106">
        <v>0</v>
      </c>
      <c r="C117" s="106">
        <v>6</v>
      </c>
      <c r="D117" s="106">
        <v>0</v>
      </c>
      <c r="E117" s="106">
        <v>0</v>
      </c>
      <c r="F117" s="106">
        <v>0</v>
      </c>
      <c r="G117" s="106">
        <v>8</v>
      </c>
      <c r="H117" s="106">
        <v>12</v>
      </c>
      <c r="I117" s="106">
        <v>18</v>
      </c>
      <c r="J117" s="106"/>
      <c r="K117" s="106"/>
      <c r="L117" s="106">
        <v>15</v>
      </c>
      <c r="M117" s="106"/>
      <c r="N117" s="116">
        <f>SUM(B117:M117)</f>
        <v>59</v>
      </c>
      <c r="O117" s="117"/>
      <c r="P117" s="117"/>
      <c r="Q117" s="29"/>
      <c r="R117" s="30"/>
      <c r="S117" s="89"/>
      <c r="T117" s="88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119"/>
    </row>
    <row r="118" spans="1:33" s="120" customFormat="1" x14ac:dyDescent="0.3">
      <c r="A118" s="179" t="s">
        <v>96</v>
      </c>
      <c r="B118" s="106">
        <v>0</v>
      </c>
      <c r="C118" s="106">
        <v>0</v>
      </c>
      <c r="D118" s="106">
        <v>0</v>
      </c>
      <c r="E118" s="106">
        <v>0</v>
      </c>
      <c r="F118" s="106">
        <v>0</v>
      </c>
      <c r="G118" s="106"/>
      <c r="H118" s="106"/>
      <c r="I118" s="106"/>
      <c r="J118" s="106"/>
      <c r="K118" s="106"/>
      <c r="L118" s="106"/>
      <c r="M118" s="106">
        <v>0</v>
      </c>
      <c r="N118" s="116">
        <f t="shared" si="24"/>
        <v>0</v>
      </c>
      <c r="O118" s="117"/>
      <c r="P118" s="117"/>
      <c r="Q118" s="29"/>
      <c r="R118" s="30"/>
      <c r="S118" s="89"/>
      <c r="T118" s="88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119"/>
    </row>
    <row r="119" spans="1:33" s="120" customFormat="1" x14ac:dyDescent="0.3">
      <c r="A119" s="179" t="s">
        <v>97</v>
      </c>
      <c r="B119" s="185"/>
      <c r="C119" s="185"/>
      <c r="D119" s="185"/>
      <c r="E119" s="185"/>
      <c r="F119" s="185">
        <v>0</v>
      </c>
      <c r="G119" s="185"/>
      <c r="H119" s="185"/>
      <c r="I119" s="185"/>
      <c r="J119" s="185"/>
      <c r="K119" s="185"/>
      <c r="L119" s="185"/>
      <c r="M119" s="185">
        <v>0</v>
      </c>
      <c r="N119" s="116">
        <f t="shared" si="24"/>
        <v>0</v>
      </c>
      <c r="O119" s="117"/>
      <c r="P119" s="117"/>
      <c r="Q119" s="29"/>
      <c r="R119" s="30"/>
      <c r="S119" s="89"/>
      <c r="T119" s="88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119"/>
    </row>
    <row r="120" spans="1:33" s="120" customFormat="1" x14ac:dyDescent="0.3">
      <c r="A120" s="179" t="s">
        <v>98</v>
      </c>
      <c r="B120" s="106">
        <v>3</v>
      </c>
      <c r="C120" s="106">
        <v>3</v>
      </c>
      <c r="D120" s="106">
        <v>3</v>
      </c>
      <c r="E120" s="106">
        <v>3</v>
      </c>
      <c r="F120" s="106">
        <v>3</v>
      </c>
      <c r="G120" s="106">
        <v>3</v>
      </c>
      <c r="H120" s="106">
        <v>3</v>
      </c>
      <c r="I120" s="106">
        <v>3</v>
      </c>
      <c r="J120" s="106">
        <v>3</v>
      </c>
      <c r="K120" s="106">
        <v>3</v>
      </c>
      <c r="L120" s="106">
        <v>3</v>
      </c>
      <c r="M120" s="106">
        <v>3</v>
      </c>
      <c r="N120" s="116">
        <f t="shared" si="24"/>
        <v>3</v>
      </c>
      <c r="O120" s="117"/>
      <c r="P120" s="117"/>
      <c r="Q120" s="29"/>
      <c r="R120" s="30"/>
      <c r="S120" s="89"/>
      <c r="T120" s="88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119"/>
    </row>
    <row r="121" spans="1:33" s="120" customFormat="1" x14ac:dyDescent="0.3">
      <c r="A121" s="179" t="s">
        <v>99</v>
      </c>
      <c r="B121" s="106"/>
      <c r="C121" s="106"/>
      <c r="D121" s="106"/>
      <c r="E121" s="106"/>
      <c r="F121" s="106">
        <v>0</v>
      </c>
      <c r="G121" s="106"/>
      <c r="H121" s="106"/>
      <c r="I121" s="106"/>
      <c r="J121" s="106"/>
      <c r="K121" s="106"/>
      <c r="L121" s="106"/>
      <c r="M121" s="106">
        <v>0</v>
      </c>
      <c r="N121" s="116">
        <f t="shared" si="24"/>
        <v>0</v>
      </c>
      <c r="O121" s="117"/>
      <c r="P121" s="117"/>
      <c r="Q121" s="29"/>
      <c r="R121" s="30"/>
      <c r="S121" s="89"/>
      <c r="T121" s="88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119"/>
    </row>
    <row r="122" spans="1:33" s="120" customFormat="1" x14ac:dyDescent="0.3">
      <c r="A122" t="s">
        <v>100</v>
      </c>
      <c r="B122" s="106">
        <v>6</v>
      </c>
      <c r="C122" s="106">
        <v>6</v>
      </c>
      <c r="D122" s="106">
        <v>6</v>
      </c>
      <c r="E122" s="106">
        <f>SUM(F123:F127)</f>
        <v>6</v>
      </c>
      <c r="F122" s="106">
        <v>6</v>
      </c>
      <c r="G122" s="106">
        <v>6</v>
      </c>
      <c r="H122" s="106">
        <v>6</v>
      </c>
      <c r="I122" s="106">
        <v>6</v>
      </c>
      <c r="J122" s="106">
        <v>6</v>
      </c>
      <c r="K122" s="106">
        <v>6</v>
      </c>
      <c r="L122" s="106">
        <v>6</v>
      </c>
      <c r="M122" s="106">
        <v>6</v>
      </c>
      <c r="N122" s="163">
        <f>SUM(N123:N127)</f>
        <v>6</v>
      </c>
      <c r="O122" s="117"/>
      <c r="P122" s="117"/>
      <c r="Q122" s="29"/>
      <c r="R122" s="30"/>
      <c r="S122" s="89"/>
      <c r="T122" s="88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119"/>
    </row>
    <row r="123" spans="1:33" s="120" customFormat="1" x14ac:dyDescent="0.3">
      <c r="A123" s="179" t="s">
        <v>101</v>
      </c>
      <c r="B123" s="106">
        <v>0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16">
        <f>+M123</f>
        <v>0</v>
      </c>
      <c r="O123" s="117"/>
      <c r="P123" s="117"/>
      <c r="Q123" s="29"/>
      <c r="R123" s="30"/>
      <c r="S123" s="89"/>
      <c r="T123" s="88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119"/>
    </row>
    <row r="124" spans="1:33" s="120" customFormat="1" x14ac:dyDescent="0.3">
      <c r="A124" s="179" t="s">
        <v>102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16">
        <f>+M124</f>
        <v>0</v>
      </c>
      <c r="O124" s="117"/>
      <c r="P124" s="117"/>
      <c r="Q124" s="29"/>
      <c r="R124" s="30"/>
      <c r="S124" s="89"/>
      <c r="T124" s="88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119"/>
    </row>
    <row r="125" spans="1:33" s="120" customFormat="1" x14ac:dyDescent="0.3">
      <c r="A125" s="179" t="s">
        <v>103</v>
      </c>
      <c r="B125" s="106">
        <v>2</v>
      </c>
      <c r="C125" s="106">
        <v>2</v>
      </c>
      <c r="D125" s="106">
        <v>2</v>
      </c>
      <c r="E125" s="106">
        <v>2</v>
      </c>
      <c r="F125" s="106">
        <v>2</v>
      </c>
      <c r="G125" s="106">
        <v>2</v>
      </c>
      <c r="H125" s="106">
        <v>2</v>
      </c>
      <c r="I125" s="106">
        <v>2</v>
      </c>
      <c r="J125" s="106">
        <v>2</v>
      </c>
      <c r="K125" s="106">
        <v>2</v>
      </c>
      <c r="L125" s="106">
        <v>2</v>
      </c>
      <c r="M125" s="106">
        <v>2</v>
      </c>
      <c r="N125" s="116">
        <f>+M125</f>
        <v>2</v>
      </c>
      <c r="O125" s="117"/>
      <c r="P125" s="117"/>
      <c r="Q125" s="29"/>
      <c r="R125" s="30"/>
      <c r="S125" s="89"/>
      <c r="T125" s="88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119"/>
    </row>
    <row r="126" spans="1:33" s="120" customFormat="1" x14ac:dyDescent="0.3">
      <c r="A126" s="179" t="s">
        <v>104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16">
        <f>+M126</f>
        <v>0</v>
      </c>
      <c r="O126" s="117"/>
      <c r="P126" s="117"/>
      <c r="Q126" s="29"/>
      <c r="R126" s="30"/>
      <c r="S126" s="89"/>
      <c r="T126" s="88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119"/>
    </row>
    <row r="127" spans="1:33" s="120" customFormat="1" x14ac:dyDescent="0.3">
      <c r="A127" s="179" t="s">
        <v>105</v>
      </c>
      <c r="B127" s="114">
        <v>4</v>
      </c>
      <c r="C127" s="164">
        <v>4</v>
      </c>
      <c r="D127" s="115">
        <v>4</v>
      </c>
      <c r="E127" s="115">
        <v>4</v>
      </c>
      <c r="F127" s="115">
        <v>4</v>
      </c>
      <c r="G127" s="115">
        <v>4</v>
      </c>
      <c r="H127" s="115">
        <v>4</v>
      </c>
      <c r="I127" s="115">
        <v>4</v>
      </c>
      <c r="J127" s="115">
        <v>4</v>
      </c>
      <c r="K127" s="115">
        <v>4</v>
      </c>
      <c r="L127" s="115">
        <v>4</v>
      </c>
      <c r="M127" s="115">
        <v>4</v>
      </c>
      <c r="N127" s="116">
        <f>+M127</f>
        <v>4</v>
      </c>
      <c r="O127" s="117"/>
      <c r="P127" s="117"/>
      <c r="Q127" s="29"/>
      <c r="R127" s="30"/>
      <c r="S127" s="89"/>
      <c r="T127" s="8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119"/>
    </row>
    <row r="128" spans="1:33" s="120" customFormat="1" x14ac:dyDescent="0.3">
      <c r="A128" s="186" t="s">
        <v>106</v>
      </c>
      <c r="B128" s="114"/>
      <c r="C128" s="16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6">
        <f>SUM(B128:M128)</f>
        <v>0</v>
      </c>
      <c r="O128" s="117"/>
      <c r="P128" s="117"/>
      <c r="Q128" s="29"/>
      <c r="R128" s="30"/>
      <c r="S128" s="89"/>
      <c r="T128" s="88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119"/>
    </row>
    <row r="129" spans="1:33" s="120" customFormat="1" x14ac:dyDescent="0.3">
      <c r="A129" s="187"/>
      <c r="B129" s="114"/>
      <c r="C129" s="16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6"/>
      <c r="O129" s="117"/>
      <c r="P129" s="117"/>
      <c r="Q129" s="29"/>
      <c r="R129" s="30"/>
      <c r="S129" s="89"/>
      <c r="T129" s="88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119"/>
    </row>
    <row r="130" spans="1:33" s="120" customFormat="1" x14ac:dyDescent="0.3">
      <c r="A130" s="171" t="s">
        <v>107</v>
      </c>
      <c r="B130" s="188">
        <f>+B131+B136</f>
        <v>19</v>
      </c>
      <c r="C130" s="188">
        <f t="shared" ref="C130:M130" si="25">+C131+C136</f>
        <v>19</v>
      </c>
      <c r="D130" s="188">
        <f t="shared" si="25"/>
        <v>19</v>
      </c>
      <c r="E130" s="188">
        <f t="shared" si="25"/>
        <v>19</v>
      </c>
      <c r="F130" s="188">
        <f t="shared" si="25"/>
        <v>18</v>
      </c>
      <c r="G130" s="188">
        <f t="shared" si="25"/>
        <v>18</v>
      </c>
      <c r="H130" s="188">
        <f t="shared" si="25"/>
        <v>19</v>
      </c>
      <c r="I130" s="188">
        <f t="shared" si="25"/>
        <v>19</v>
      </c>
      <c r="J130" s="188">
        <f>+J132+J135+J134</f>
        <v>19</v>
      </c>
      <c r="K130" s="188">
        <f t="shared" si="25"/>
        <v>19</v>
      </c>
      <c r="L130" s="188">
        <f t="shared" si="25"/>
        <v>19</v>
      </c>
      <c r="M130" s="188">
        <f t="shared" si="25"/>
        <v>19</v>
      </c>
      <c r="N130" s="175"/>
      <c r="O130" s="174"/>
      <c r="P130" s="174"/>
      <c r="Q130" s="176"/>
      <c r="R130" s="30"/>
      <c r="S130" s="89"/>
      <c r="T130" s="88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119"/>
    </row>
    <row r="131" spans="1:33" s="120" customFormat="1" x14ac:dyDescent="0.3">
      <c r="A131" t="s">
        <v>108</v>
      </c>
      <c r="B131" s="157">
        <f>SUM(B132:B135)</f>
        <v>19</v>
      </c>
      <c r="C131" s="157">
        <f>SUM(C132:C135)</f>
        <v>19</v>
      </c>
      <c r="D131" s="157">
        <f>SUM(D132:D135)</f>
        <v>19</v>
      </c>
      <c r="E131" s="157">
        <f>SUM(E132:E135)</f>
        <v>19</v>
      </c>
      <c r="F131" s="157">
        <f t="shared" ref="F131:N131" si="26">SUM(F132:F135)</f>
        <v>18</v>
      </c>
      <c r="G131" s="157">
        <v>18</v>
      </c>
      <c r="H131" s="157">
        <v>19</v>
      </c>
      <c r="I131" s="157">
        <v>19</v>
      </c>
      <c r="J131" s="157">
        <v>19</v>
      </c>
      <c r="K131" s="157">
        <f t="shared" si="26"/>
        <v>19</v>
      </c>
      <c r="L131" s="157">
        <v>19</v>
      </c>
      <c r="M131" s="157">
        <v>19</v>
      </c>
      <c r="N131" s="160">
        <f t="shared" si="26"/>
        <v>19</v>
      </c>
      <c r="O131" s="117"/>
      <c r="P131" s="117"/>
      <c r="Q131" s="29"/>
      <c r="R131" s="30"/>
      <c r="S131" s="89"/>
      <c r="T131" s="88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119"/>
    </row>
    <row r="132" spans="1:33" s="120" customFormat="1" x14ac:dyDescent="0.3">
      <c r="A132" s="189" t="s">
        <v>109</v>
      </c>
      <c r="B132" s="190">
        <v>6</v>
      </c>
      <c r="C132" s="190">
        <v>6</v>
      </c>
      <c r="D132" s="190">
        <v>6</v>
      </c>
      <c r="E132" s="190">
        <v>6</v>
      </c>
      <c r="F132" s="190">
        <v>5</v>
      </c>
      <c r="G132" s="190">
        <v>5</v>
      </c>
      <c r="H132" s="190">
        <v>6</v>
      </c>
      <c r="I132" s="190">
        <v>6</v>
      </c>
      <c r="J132" s="190">
        <v>6</v>
      </c>
      <c r="K132" s="190">
        <v>6</v>
      </c>
      <c r="L132" s="190">
        <v>6</v>
      </c>
      <c r="M132" s="190">
        <v>6</v>
      </c>
      <c r="N132" s="116">
        <f>+M132</f>
        <v>6</v>
      </c>
      <c r="O132" s="117"/>
      <c r="P132" s="117"/>
      <c r="Q132" s="29"/>
      <c r="R132" s="30"/>
      <c r="S132" s="89"/>
      <c r="T132" s="88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119"/>
    </row>
    <row r="133" spans="1:33" s="120" customFormat="1" x14ac:dyDescent="0.3">
      <c r="A133" s="189" t="s">
        <v>110</v>
      </c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16">
        <f>+M133</f>
        <v>0</v>
      </c>
      <c r="O133" s="117"/>
      <c r="P133" s="117"/>
      <c r="Q133" s="29"/>
      <c r="R133" s="30"/>
      <c r="S133" s="89"/>
      <c r="T133" s="88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119"/>
    </row>
    <row r="134" spans="1:33" s="120" customFormat="1" x14ac:dyDescent="0.3">
      <c r="A134" s="189" t="s">
        <v>111</v>
      </c>
      <c r="B134" s="190">
        <v>12</v>
      </c>
      <c r="C134" s="190">
        <v>12</v>
      </c>
      <c r="D134" s="190">
        <v>12</v>
      </c>
      <c r="E134" s="190">
        <v>12</v>
      </c>
      <c r="F134" s="190">
        <v>12</v>
      </c>
      <c r="G134" s="190">
        <v>12</v>
      </c>
      <c r="H134" s="190">
        <v>12</v>
      </c>
      <c r="I134" s="190">
        <v>12</v>
      </c>
      <c r="J134" s="190">
        <v>12</v>
      </c>
      <c r="K134" s="190">
        <v>12</v>
      </c>
      <c r="L134" s="190">
        <v>12</v>
      </c>
      <c r="M134" s="190">
        <v>12</v>
      </c>
      <c r="N134" s="116">
        <f>+M134</f>
        <v>12</v>
      </c>
      <c r="O134" s="117"/>
      <c r="P134" s="117"/>
      <c r="Q134" s="29"/>
      <c r="R134" s="30"/>
      <c r="S134" s="89"/>
      <c r="T134" s="88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119"/>
    </row>
    <row r="135" spans="1:33" s="120" customFormat="1" x14ac:dyDescent="0.3">
      <c r="A135" s="189" t="s">
        <v>112</v>
      </c>
      <c r="B135" s="190">
        <v>1</v>
      </c>
      <c r="C135" s="190">
        <v>1</v>
      </c>
      <c r="D135" s="190">
        <v>1</v>
      </c>
      <c r="E135" s="190">
        <v>1</v>
      </c>
      <c r="F135" s="190">
        <v>1</v>
      </c>
      <c r="G135" s="190">
        <v>1</v>
      </c>
      <c r="H135" s="190">
        <v>1</v>
      </c>
      <c r="I135" s="190">
        <v>1</v>
      </c>
      <c r="J135" s="190">
        <v>1</v>
      </c>
      <c r="K135" s="190">
        <v>1</v>
      </c>
      <c r="L135" s="190">
        <v>1</v>
      </c>
      <c r="M135" s="190">
        <v>1</v>
      </c>
      <c r="N135" s="116">
        <f>+M135</f>
        <v>1</v>
      </c>
      <c r="O135" s="117"/>
      <c r="P135" s="117"/>
      <c r="Q135" s="29"/>
      <c r="R135" s="30"/>
      <c r="S135" s="89"/>
      <c r="T135" s="8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119"/>
    </row>
    <row r="136" spans="1:33" s="120" customFormat="1" x14ac:dyDescent="0.3">
      <c r="A136" s="113" t="s">
        <v>113</v>
      </c>
      <c r="B136" s="190">
        <v>0</v>
      </c>
      <c r="C136" s="190">
        <v>0</v>
      </c>
      <c r="D136" s="190">
        <v>0</v>
      </c>
      <c r="E136" s="190">
        <v>0</v>
      </c>
      <c r="F136" s="190">
        <v>0</v>
      </c>
      <c r="G136" s="190">
        <v>0</v>
      </c>
      <c r="H136" s="190">
        <v>0</v>
      </c>
      <c r="I136" s="190">
        <v>0</v>
      </c>
      <c r="J136" s="190"/>
      <c r="K136" s="190"/>
      <c r="L136" s="190"/>
      <c r="M136" s="190"/>
      <c r="N136" s="116">
        <f>+M136</f>
        <v>0</v>
      </c>
      <c r="O136" s="117"/>
      <c r="P136" s="117"/>
      <c r="Q136" s="29"/>
      <c r="R136" s="30"/>
      <c r="S136" s="89"/>
      <c r="T136" s="88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119"/>
    </row>
    <row r="137" spans="1:33" s="120" customFormat="1" x14ac:dyDescent="0.3">
      <c r="A137" s="179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6"/>
      <c r="O137" s="117"/>
      <c r="P137" s="117"/>
      <c r="Q137" s="29"/>
      <c r="R137" s="30"/>
      <c r="S137" s="89"/>
      <c r="T137" s="88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119"/>
    </row>
    <row r="138" spans="1:33" s="120" customFormat="1" x14ac:dyDescent="0.3">
      <c r="A138" s="177" t="s">
        <v>114</v>
      </c>
      <c r="B138" s="106">
        <v>4</v>
      </c>
      <c r="C138" s="106">
        <v>4</v>
      </c>
      <c r="D138" s="106">
        <v>4</v>
      </c>
      <c r="E138" s="106">
        <v>4</v>
      </c>
      <c r="F138" s="106">
        <v>4</v>
      </c>
      <c r="G138" s="106">
        <v>4</v>
      </c>
      <c r="H138" s="106">
        <v>4</v>
      </c>
      <c r="I138" s="106">
        <v>4</v>
      </c>
      <c r="J138" s="106">
        <v>4</v>
      </c>
      <c r="K138" s="106">
        <v>4</v>
      </c>
      <c r="L138" s="106">
        <v>4</v>
      </c>
      <c r="M138" s="106">
        <v>4</v>
      </c>
      <c r="N138" s="116">
        <f>+M138</f>
        <v>4</v>
      </c>
      <c r="O138" s="117"/>
      <c r="P138" s="117"/>
      <c r="Q138" s="29"/>
      <c r="R138" s="30"/>
      <c r="S138" s="89"/>
      <c r="T138" s="88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119"/>
    </row>
    <row r="139" spans="1:33" s="120" customFormat="1" x14ac:dyDescent="0.3">
      <c r="A139" s="177" t="s">
        <v>115</v>
      </c>
      <c r="B139" s="191">
        <v>30</v>
      </c>
      <c r="C139" s="191">
        <v>15</v>
      </c>
      <c r="D139" s="191">
        <v>10</v>
      </c>
      <c r="E139" s="191">
        <v>15</v>
      </c>
      <c r="F139" s="191">
        <v>6</v>
      </c>
      <c r="G139" s="191">
        <v>7</v>
      </c>
      <c r="H139" s="190">
        <v>36</v>
      </c>
      <c r="I139" s="190">
        <v>18</v>
      </c>
      <c r="J139" s="190">
        <v>19</v>
      </c>
      <c r="K139" s="190">
        <v>25</v>
      </c>
      <c r="L139" s="190">
        <v>15</v>
      </c>
      <c r="M139" s="190">
        <v>27</v>
      </c>
      <c r="N139" s="116">
        <f>SUM(B139:M139)</f>
        <v>223</v>
      </c>
      <c r="O139" s="117"/>
      <c r="P139" s="117"/>
      <c r="Q139" s="29"/>
      <c r="R139" s="30"/>
      <c r="S139" s="89"/>
      <c r="T139" s="8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119"/>
    </row>
    <row r="140" spans="1:33" s="120" customFormat="1" x14ac:dyDescent="0.3">
      <c r="A140" s="177" t="s">
        <v>116</v>
      </c>
      <c r="B140" s="191">
        <v>30</v>
      </c>
      <c r="C140" s="191">
        <v>15</v>
      </c>
      <c r="D140" s="191">
        <v>10</v>
      </c>
      <c r="E140" s="191">
        <v>15</v>
      </c>
      <c r="F140" s="191">
        <v>6</v>
      </c>
      <c r="G140" s="191">
        <v>7</v>
      </c>
      <c r="H140" s="190">
        <v>36</v>
      </c>
      <c r="I140" s="190">
        <v>18</v>
      </c>
      <c r="J140" s="190">
        <v>19</v>
      </c>
      <c r="K140" s="190">
        <v>25</v>
      </c>
      <c r="L140" s="190">
        <v>15</v>
      </c>
      <c r="M140" s="190">
        <v>27</v>
      </c>
      <c r="N140" s="116">
        <f>SUM(B140:M140)</f>
        <v>223</v>
      </c>
      <c r="O140" s="117"/>
      <c r="P140" s="117"/>
      <c r="Q140" s="29"/>
      <c r="R140" s="30"/>
      <c r="S140" s="89"/>
      <c r="T140" s="88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119"/>
    </row>
    <row r="141" spans="1:33" s="120" customFormat="1" x14ac:dyDescent="0.3">
      <c r="A141" s="177" t="s">
        <v>117</v>
      </c>
      <c r="B141" s="106">
        <v>20</v>
      </c>
      <c r="C141" s="106">
        <v>26</v>
      </c>
      <c r="D141" s="106">
        <v>126</v>
      </c>
      <c r="E141" s="106">
        <v>137</v>
      </c>
      <c r="F141" s="106">
        <v>282</v>
      </c>
      <c r="G141" s="106">
        <v>100</v>
      </c>
      <c r="H141" s="106">
        <v>120</v>
      </c>
      <c r="I141" s="106">
        <v>123</v>
      </c>
      <c r="J141" s="106">
        <v>100</v>
      </c>
      <c r="K141" s="106">
        <v>115</v>
      </c>
      <c r="L141" s="106">
        <v>35</v>
      </c>
      <c r="M141" s="106">
        <v>70</v>
      </c>
      <c r="N141" s="116">
        <f>+M141</f>
        <v>70</v>
      </c>
      <c r="O141" s="117"/>
      <c r="P141" s="117"/>
      <c r="Q141" s="29"/>
      <c r="R141" s="30"/>
      <c r="S141" s="89"/>
      <c r="T141" s="88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119"/>
    </row>
    <row r="142" spans="1:33" s="120" customFormat="1" x14ac:dyDescent="0.3">
      <c r="A142" s="177" t="s">
        <v>118</v>
      </c>
      <c r="B142" s="190">
        <v>16</v>
      </c>
      <c r="C142" s="190">
        <v>18</v>
      </c>
      <c r="D142" s="190">
        <v>20</v>
      </c>
      <c r="E142" s="190">
        <v>25</v>
      </c>
      <c r="F142" s="190">
        <v>40</v>
      </c>
      <c r="G142" s="190">
        <v>20</v>
      </c>
      <c r="H142" s="190">
        <v>15</v>
      </c>
      <c r="I142" s="190">
        <v>10</v>
      </c>
      <c r="J142" s="190">
        <v>8</v>
      </c>
      <c r="K142" s="190">
        <v>10</v>
      </c>
      <c r="L142" s="190">
        <v>20</v>
      </c>
      <c r="M142" s="190">
        <v>12</v>
      </c>
      <c r="N142" s="116">
        <f>SUM(B142:M142)</f>
        <v>214</v>
      </c>
      <c r="O142" s="117"/>
      <c r="P142" s="117"/>
      <c r="Q142" s="29"/>
      <c r="R142" s="30"/>
      <c r="S142" s="89"/>
      <c r="T142" s="88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119"/>
    </row>
    <row r="143" spans="1:33" s="120" customFormat="1" x14ac:dyDescent="0.3">
      <c r="A143" s="177" t="s">
        <v>119</v>
      </c>
      <c r="B143" s="190">
        <v>16</v>
      </c>
      <c r="C143" s="190">
        <v>18</v>
      </c>
      <c r="D143" s="190">
        <v>20</v>
      </c>
      <c r="E143" s="190">
        <v>25</v>
      </c>
      <c r="F143" s="190">
        <v>40</v>
      </c>
      <c r="G143" s="190">
        <v>20</v>
      </c>
      <c r="H143" s="190">
        <v>15</v>
      </c>
      <c r="I143" s="190">
        <v>10</v>
      </c>
      <c r="J143" s="190">
        <v>8</v>
      </c>
      <c r="K143" s="190">
        <v>10</v>
      </c>
      <c r="L143" s="190">
        <v>20</v>
      </c>
      <c r="M143" s="190">
        <v>12</v>
      </c>
      <c r="N143" s="116">
        <f>SUM(B143:M143)</f>
        <v>214</v>
      </c>
      <c r="O143" s="117"/>
      <c r="P143" s="117"/>
      <c r="Q143" s="29"/>
      <c r="R143" s="30"/>
      <c r="S143" s="89"/>
      <c r="T143" s="88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119"/>
    </row>
    <row r="144" spans="1:33" s="120" customFormat="1" x14ac:dyDescent="0.3">
      <c r="A144" s="192" t="s">
        <v>120</v>
      </c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N144" s="116"/>
      <c r="O144" s="117"/>
      <c r="P144" s="117"/>
      <c r="Q144" s="29"/>
      <c r="R144" s="30"/>
      <c r="S144" s="89"/>
      <c r="T144" s="88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119"/>
    </row>
    <row r="145" spans="1:33" s="120" customFormat="1" x14ac:dyDescent="0.3">
      <c r="A145" s="194" t="s">
        <v>121</v>
      </c>
      <c r="B145" s="195">
        <v>5584</v>
      </c>
      <c r="C145" s="195">
        <v>5584</v>
      </c>
      <c r="D145" s="195">
        <v>5584</v>
      </c>
      <c r="E145" s="195">
        <v>5584</v>
      </c>
      <c r="F145" s="195">
        <v>5584</v>
      </c>
      <c r="G145" s="195">
        <v>5584</v>
      </c>
      <c r="H145" s="196">
        <v>5606</v>
      </c>
      <c r="I145" s="196">
        <v>5618</v>
      </c>
      <c r="J145" s="196">
        <f>3425+2921</f>
        <v>6346</v>
      </c>
      <c r="K145" s="196">
        <f>3425+2921</f>
        <v>6346</v>
      </c>
      <c r="L145" s="196">
        <v>6352</v>
      </c>
      <c r="M145" s="193">
        <f>+M68</f>
        <v>6369</v>
      </c>
      <c r="N145" s="116">
        <f>M145</f>
        <v>6369</v>
      </c>
      <c r="O145" s="197"/>
      <c r="P145" s="197"/>
      <c r="Q145" s="94"/>
      <c r="R145" s="30"/>
      <c r="S145" s="89"/>
      <c r="T145" s="88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119"/>
    </row>
    <row r="146" spans="1:33" x14ac:dyDescent="0.3">
      <c r="A146" s="198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</row>
    <row r="147" spans="1:33" x14ac:dyDescent="0.3">
      <c r="A147" s="218"/>
      <c r="B147" s="218"/>
      <c r="C147" s="218"/>
      <c r="D147" s="218"/>
      <c r="E147"/>
      <c r="F147"/>
      <c r="G147" s="199"/>
      <c r="H147" s="199"/>
      <c r="I147" s="199"/>
      <c r="J147" s="199"/>
      <c r="K147" s="199"/>
      <c r="L147" s="199"/>
      <c r="M147" s="199"/>
    </row>
    <row r="148" spans="1:33" x14ac:dyDescent="0.3">
      <c r="A148" s="219"/>
      <c r="B148" s="219"/>
      <c r="C148" s="219"/>
      <c r="D148" s="219"/>
      <c r="E148" s="220"/>
      <c r="F148" s="220"/>
    </row>
    <row r="149" spans="1:33" x14ac:dyDescent="0.3">
      <c r="A149" s="219"/>
      <c r="B149" s="219"/>
      <c r="C149" s="219"/>
      <c r="D149" s="219"/>
      <c r="E149" s="220"/>
      <c r="F149" s="220"/>
    </row>
    <row r="150" spans="1:33" x14ac:dyDescent="0.3">
      <c r="A150" s="219"/>
      <c r="B150" s="219"/>
      <c r="C150" s="219"/>
      <c r="D150" s="219"/>
      <c r="E150" s="220"/>
      <c r="F150" s="220"/>
    </row>
    <row r="151" spans="1:33" ht="15" thickBot="1" x14ac:dyDescent="0.35">
      <c r="A151" s="221"/>
      <c r="B151" s="219"/>
      <c r="C151" s="219"/>
      <c r="D151" s="224"/>
      <c r="E151" s="220"/>
      <c r="F151" s="220"/>
      <c r="I151" s="225"/>
      <c r="J151" s="225"/>
      <c r="K151" s="225"/>
    </row>
    <row r="152" spans="1:33" x14ac:dyDescent="0.3">
      <c r="A152" s="222" t="s">
        <v>127</v>
      </c>
      <c r="B152" s="219"/>
      <c r="C152" s="219"/>
      <c r="F152" s="220"/>
      <c r="J152" s="223" t="s">
        <v>128</v>
      </c>
    </row>
    <row r="153" spans="1:33" x14ac:dyDescent="0.3">
      <c r="A153" s="222" t="s">
        <v>129</v>
      </c>
      <c r="B153" s="219"/>
      <c r="C153" s="219"/>
      <c r="F153" s="220"/>
      <c r="J153" s="223" t="s">
        <v>130</v>
      </c>
    </row>
    <row r="154" spans="1:33" x14ac:dyDescent="0.3">
      <c r="A154" s="222" t="s">
        <v>131</v>
      </c>
      <c r="B154" s="219"/>
      <c r="C154" s="219"/>
      <c r="F154" s="220"/>
      <c r="J154" s="223" t="s">
        <v>131</v>
      </c>
    </row>
    <row r="155" spans="1:33" x14ac:dyDescent="0.3">
      <c r="A155" s="219"/>
      <c r="B155" s="219"/>
      <c r="C155" s="219"/>
      <c r="D155" s="219"/>
      <c r="E155" s="220"/>
      <c r="F155" s="220"/>
    </row>
  </sheetData>
  <mergeCells count="5">
    <mergeCell ref="A102:A103"/>
    <mergeCell ref="A4:Q4"/>
    <mergeCell ref="A5:Q5"/>
    <mergeCell ref="A6:Q6"/>
    <mergeCell ref="A9:Q9"/>
  </mergeCells>
  <printOptions horizontalCentered="1"/>
  <pageMargins left="0.19685039370078741" right="0.19685039370078741" top="0.43307086614173229" bottom="0.55118110236220474" header="0.51181102362204722" footer="0.31496062992125984"/>
  <pageSetup scale="42" fitToHeight="3" orientation="landscape" r:id="rId1"/>
  <headerFooter alignWithMargins="0"/>
  <rowBreaks count="1" manualBreakCount="1">
    <brk id="8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PIGOO</vt:lpstr>
      <vt:lpstr>PIGOO!Área_de_impresión</vt:lpstr>
      <vt:lpstr>PIGOO!Títulos_a_imprimir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Reuniones</cp:lastModifiedBy>
  <cp:lastPrinted>2023-01-31T03:00:36Z</cp:lastPrinted>
  <dcterms:created xsi:type="dcterms:W3CDTF">2022-06-24T15:45:02Z</dcterms:created>
  <dcterms:modified xsi:type="dcterms:W3CDTF">2023-01-31T03:01:41Z</dcterms:modified>
</cp:coreProperties>
</file>